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BBank" sheetId="1" r:id="rId4"/>
    <sheet state="visible" name="VBARD HD 56" sheetId="2" r:id="rId5"/>
    <sheet state="visible" name="VBARD HD 86" sheetId="3" r:id="rId6"/>
    <sheet state="visible" name="VBARD Ky le 200" sheetId="4" r:id="rId7"/>
    <sheet state="visible" name="DATABASE" sheetId="5" r:id="rId8"/>
  </sheets>
  <definedNames>
    <definedName hidden="1" localSheetId="4" name="_xlnm._FilterDatabase">DATABASE!$A$3:$R$396</definedName>
  </definedNames>
  <calcPr/>
</workbook>
</file>

<file path=xl/sharedStrings.xml><?xml version="1.0" encoding="utf-8"?>
<sst xmlns="http://schemas.openxmlformats.org/spreadsheetml/2006/main" count="1098" uniqueCount="1055">
  <si>
    <t>BẢNG TỔNG KẾT SERVICES MBBANK THEO CHU KỲ</t>
  </si>
  <si>
    <t>STT</t>
  </si>
  <si>
    <t>ATM ID</t>
  </si>
  <si>
    <t>Serial number</t>
  </si>
  <si>
    <t>Địa chỉ</t>
  </si>
  <si>
    <t>Trạng thái bảo trì</t>
  </si>
  <si>
    <t>Tổng số lần KPSC</t>
  </si>
  <si>
    <t>CK1 năm IV</t>
  </si>
  <si>
    <t>CK2 năm IV</t>
  </si>
  <si>
    <t>HĐ 01</t>
  </si>
  <si>
    <t>56HG805386</t>
  </si>
  <si>
    <t>Trung đoàn không quân 927, xã Hương Lạc, huyện Lạng Giang, tỉnh Bắc Giang</t>
  </si>
  <si>
    <t>56HG805405</t>
  </si>
  <si>
    <t>Công ty đóng tàu Hồng Hà, Lê Thiện, An Dương, Hải Phòng</t>
  </si>
  <si>
    <t>56HG805401</t>
  </si>
  <si>
    <t>Trường Quân sự Quân Khu 1, xã Thượng Đình, huyện Phú Bình, tỉnh Thái Nguyên</t>
  </si>
  <si>
    <t>56HG805389</t>
  </si>
  <si>
    <t>Xưởng sửa chữa xe tăng X32 + Kho Y, xã Kim Long, huyện Tam Dương, tỉnh Vĩnh Phúc</t>
  </si>
  <si>
    <t>56HG805400</t>
  </si>
  <si>
    <t>Trường Sỹ quan tăng thiết giáp, xã Kim Long, huyện Tam Dương, Vĩnh Phúc</t>
  </si>
  <si>
    <t>56HG805388</t>
  </si>
  <si>
    <t>Kho 866, xóm 20, xã Nghĩa Thuận, Thị xã Thái Hòa, tỉnh Nghệ An</t>
  </si>
  <si>
    <t>56HG805387</t>
  </si>
  <si>
    <t>Công ty Cổ phần Hoàn Cầu Hòa Bình, xã Thành Lập, Lương Sơn, Hòa Bình</t>
  </si>
  <si>
    <t>56HG805391</t>
  </si>
  <si>
    <t>Chi nhánh Thanh Trì - Ban chỉ huy quân sự huyện Thường Tín</t>
  </si>
  <si>
    <t>56HG805395</t>
  </si>
  <si>
    <t>Binh Đoàn 16</t>
  </si>
  <si>
    <t>56HG805393</t>
  </si>
  <si>
    <t>Công Ty Cổ Phần Gỗ Tân Thành, Bình Dương</t>
  </si>
  <si>
    <t>56HG805394</t>
  </si>
  <si>
    <t>Công Ty Cổ Phần Ánh Sao Dương, Bình Dương</t>
  </si>
  <si>
    <t>56HG805402</t>
  </si>
  <si>
    <t>Chợ Đêm Phú Quốc, đường Lý Tự Trọng, khu phố 2, TT Dương Đông, huyện Phú Quốc, Kiên Giang</t>
  </si>
  <si>
    <t>56HG805403</t>
  </si>
  <si>
    <t>Đường Dương Đông, Cửa Cạn, ấp Ông Lang, huyện Phú Quốc, Kiên Giang</t>
  </si>
  <si>
    <t>56HG805396</t>
  </si>
  <si>
    <t>Số 01 Lê Lợi TP Hội An, Quảng Nam</t>
  </si>
  <si>
    <t>56HG805404</t>
  </si>
  <si>
    <t>Lữ đoàn Phòng không 573</t>
  </si>
  <si>
    <t>56HG805390</t>
  </si>
  <si>
    <t>Kho KV1, Cục Quân Khí, Tổng Cục Kỹ thuật, xã Thanh Sơn, Hữu Lũng, Lạng Sơn</t>
  </si>
  <si>
    <t>56HG805398</t>
  </si>
  <si>
    <t>Lữ đoàn 239 Thanh Trì, thôn Xâm Xuyên, Thường Tín, Hà Nội</t>
  </si>
  <si>
    <t>56HG805399</t>
  </si>
  <si>
    <t>PGD Rạch Dừa, 478 đường 30/04, TP Vũng Tàu</t>
  </si>
  <si>
    <t>56HG805397</t>
  </si>
  <si>
    <t>BV Quân Y 17</t>
  </si>
  <si>
    <t>56HG805392</t>
  </si>
  <si>
    <t>Công ty TNHH A NAM Electronics Việt Nam, Khu công nghiệp đồng văn IV, Kim Bảng, Hà Nam</t>
  </si>
  <si>
    <t>56HG806309</t>
  </si>
  <si>
    <t>Số 238 Hoàng Quốc Việt, Cầu Giấy, Hà Nội</t>
  </si>
  <si>
    <t>56HG806319</t>
  </si>
  <si>
    <t>Số 126 Hoàng Quốc Việt, Cầu Giấy, Hà Nội</t>
  </si>
  <si>
    <t>56HG806323</t>
  </si>
  <si>
    <t>Lữ đoàn 28, Xuân Phương, huyện Từ Liêm, thành phố Hà Nội</t>
  </si>
  <si>
    <t>56HG806300</t>
  </si>
  <si>
    <t>Lữ đoàn 75, đường Đồng Khởi, P.Tân Phong, TP.Biên Hòa, T.Đồng Nai</t>
  </si>
  <si>
    <t>56HG806311</t>
  </si>
  <si>
    <t>Bệnh Viên Quân Y 13, TP Quy Nhơn</t>
  </si>
  <si>
    <t>56HG806322</t>
  </si>
  <si>
    <t>37 Ngô Mây, TP Quy Nhơn</t>
  </si>
  <si>
    <t>56HG806317</t>
  </si>
  <si>
    <t>Bãi đổ xe - 02 Đào Duy Từ, Phường Cẩm Phô, TP Hội An, Tỉnh Quảng Nam</t>
  </si>
  <si>
    <t>56HG806308</t>
  </si>
  <si>
    <t>Số 1 Lê Đức Thọ, Mai Dịch, Cầu Giấy, Hà Nội</t>
  </si>
  <si>
    <t>56HG806315</t>
  </si>
  <si>
    <t>147 Xã Đàn, Đống Đa, Hà Nội</t>
  </si>
  <si>
    <t>56HG806314</t>
  </si>
  <si>
    <t>Binh đoàn 11, Số 141 Hồ Đắc Di, Đống Đa, HN</t>
  </si>
  <si>
    <t>56HG806318</t>
  </si>
  <si>
    <t>144 - 146 Nguyễn Thái Bình, Q.1</t>
  </si>
  <si>
    <t>56HG806302</t>
  </si>
  <si>
    <t>25B Lê Văn Việt, Q.9, TP. HCM</t>
  </si>
  <si>
    <t>56HG806307</t>
  </si>
  <si>
    <t>Số 8-Tổ 7, Tân Bình, Xuân Mai, Chương Mỹ, TP. Hà Nội</t>
  </si>
  <si>
    <t>56HG806299</t>
  </si>
  <si>
    <t>Số 3 Trần Hưng Đạo, Hoàn Kiếm, Hà Nội</t>
  </si>
  <si>
    <t>56HG806313</t>
  </si>
  <si>
    <t>355 Trường Chinh, Thanh Xuân, Hà Nội</t>
  </si>
  <si>
    <t>56HG806301</t>
  </si>
  <si>
    <t>Tầng 1 toàn nhà Diamond Building, số A1-7, lô 8A đường Lê Hồng Phong, quận Ngô Quyền, TP. Hải Phòng</t>
  </si>
  <si>
    <t>56HG806310</t>
  </si>
  <si>
    <t>248 Nguyễn Lương Bằng, TP. Hải Dương</t>
  </si>
  <si>
    <t>56HG806320</t>
  </si>
  <si>
    <t>Số 328, tổ 1B, khu 6A, phường Hồng Hải, TP. Hạ Long, Quảng Ninh</t>
  </si>
  <si>
    <t>56HG806304</t>
  </si>
  <si>
    <t>Ngân hàng nhà nước tỉnh Đăk Lăk, số 148 Nguyễn Tất Thành, P. Tân Lập, TP. Buôn Mê Thuột, Đăk Lăk</t>
  </si>
  <si>
    <t>56HG806316</t>
  </si>
  <si>
    <t>BCH Quân sự tỉnh Đak lak</t>
  </si>
  <si>
    <t>56HG806312</t>
  </si>
  <si>
    <t>PGD Buôn Hồ, 563 Hùng Vương, TDP7, P. An Lạc, Tx Buôn Hồ, Đăk Lăk</t>
  </si>
  <si>
    <t>56HG806303</t>
  </si>
  <si>
    <t>65 Hoàng Văn Thụ, TP.Thái Nguyên</t>
  </si>
  <si>
    <t>56HG806324</t>
  </si>
  <si>
    <t>Tòa nhà số 42 phố Trưng Vương, phường Lê Lợi, thị xã Sơn Tây, TP Hà Nội.</t>
  </si>
  <si>
    <t>56HG806321</t>
  </si>
  <si>
    <t>Khu Công nghiệp An Dương, Đường ngang Số 2 – KCN An Dương, Hải Phòng</t>
  </si>
  <si>
    <t>56HG806306</t>
  </si>
  <si>
    <t>PGD Sông Hàn – số 47-49 Nguyễn Văn Linh, Phường Phước Ninh, Quận Hải Châu, TP Đà Nẵng</t>
  </si>
  <si>
    <t>56HG806305</t>
  </si>
  <si>
    <t>Số 119 đường Hoàng Liên, TP Lào Cai, tỉnh Lào Cai</t>
  </si>
  <si>
    <t>56HGL00270</t>
  </si>
  <si>
    <t>Tầng 1 tòa nhà Victoria Văn Phú, TP Hà Nội</t>
  </si>
  <si>
    <t>56HGL00271</t>
  </si>
  <si>
    <t>96-98 Đào Duy Từ, tiểu khu 5, tt Tĩnh Gia, Thanh Hóa</t>
  </si>
  <si>
    <t>56HGL00272</t>
  </si>
  <si>
    <t>54-56-60 đường Trần Phú, TP. Thanh Hóa</t>
  </si>
  <si>
    <t>56HGL00273</t>
  </si>
  <si>
    <t>Công ty HMT, Nga Sơn, Thanh Hóa</t>
  </si>
  <si>
    <t>56HGL00275</t>
  </si>
  <si>
    <t>Trường TCKT Quân Khí, Gia Khánh, Bình Xuyên, Vĩnh Phúc</t>
  </si>
  <si>
    <t>56HGL00276</t>
  </si>
  <si>
    <t>Nhà máy Z195, Hợp Châu, Tam Đảo, Vĩnh Phúc</t>
  </si>
  <si>
    <t>56HGL00299</t>
  </si>
  <si>
    <t>Tiểu Công viên, ngã tư Nguyễn Tất Thành, TP Hội An, tỉnh Quảng Nam</t>
  </si>
  <si>
    <t>56HGL00300</t>
  </si>
  <si>
    <t>Cty Scavi Huế, KCN Phong Điền, Thừa Thiên Huế</t>
  </si>
  <si>
    <t>56HGL00301</t>
  </si>
  <si>
    <t>Khu đo thị phố chợ Nam Phước, TT Nam Phước, H. Duy Xuyên, Quảng Nam</t>
  </si>
  <si>
    <t>56HGL00278</t>
  </si>
  <si>
    <t>119/2-3 Nguyễn Anh Thủ, Ấp Trung Chánh 1, TT Hóc Môn, TP. HCM</t>
  </si>
  <si>
    <t>56HGL00281</t>
  </si>
  <si>
    <t>PGD Bà Điểm, Số 10/2A đường Nguyễn Ảnh Thủ, ấp Hưng Lân, xã Bà Điểm, huyện Hóc Môn, TP HCM.</t>
  </si>
  <si>
    <t>56HGL00302</t>
  </si>
  <si>
    <t>MB Tân Châu 1, Số 95, Đ. Trần Văn Trà, Kp. 2, TT Tân Châu, huyện Tân Châu, tỉnh Tây Ninh</t>
  </si>
  <si>
    <t>56HGL00294</t>
  </si>
  <si>
    <t>131 tỉnh lộ 8, TT Củ Chi, H. Củ Chi, TP.HCM</t>
  </si>
  <si>
    <t>56HGL00282</t>
  </si>
  <si>
    <t>114-116 Nam Kỳ Khởi Nghĩa, phường 1, TP. Mỹ Tho, Tiền Giang</t>
  </si>
  <si>
    <t>56HGL00298</t>
  </si>
  <si>
    <t>Khu A Học Viện Lục Quân, Đà Lạt, Số 01 Lý Thường Kiệt, phường 9, TP Đà Lạt, tỉnh Lâm Đồng</t>
  </si>
  <si>
    <t>56HGL00291</t>
  </si>
  <si>
    <t>MB Di Linh, Số 725 đường Hùng Vương, thị trấn Di Linh, huyện Di Linh, tỉnh Lâm Đồng</t>
  </si>
  <si>
    <t>56HGL00285</t>
  </si>
  <si>
    <t>Sư đoàn 330 - Trung đoàn 1 Tỉnh lộ 948, TT Chi Lăng, huyện Tịnh Biên, tỉnh An Giang</t>
  </si>
  <si>
    <t>56HGL00297</t>
  </si>
  <si>
    <t>PGD Bình Hưng, Tầng trệt (tầng 1), tầng 2 số A23/30, Quốc lộ 50, Ấp 1, xã Bình Hưng, huyện Bình Chánh, Thành phố Hồ Chí Minh</t>
  </si>
  <si>
    <t>56HGL00286</t>
  </si>
  <si>
    <t>MB Trà Vinh, Số TRV-PG2-05, TRV-PG2-05A, TRV-PG2-06, khóm 3, phường 2, thành phố Trà Vinh, tỉnh Trà Vinh.</t>
  </si>
  <si>
    <t>56HGL00274</t>
  </si>
  <si>
    <t>Trường trung cấp Biên phòng 1Việt Lập, huyện Tân Yên, tỉnh Bắc Giang</t>
  </si>
  <si>
    <t>56HGL00280</t>
  </si>
  <si>
    <t>Khu công nghiệp Nhị Xuân, Xuân Thới Sơn, Hóc Môn, TP HCM</t>
  </si>
  <si>
    <t>56HGL00295</t>
  </si>
  <si>
    <t>MB Phú Xuân, Số 2049 Huỳnh Tấn Phát, khu phố 6, thị trấn Nhà Bè, huyện Nhà Bè, Thành phố Hồ Chí Minh.</t>
  </si>
  <si>
    <t>56HGL00279</t>
  </si>
  <si>
    <t>Xã Gành Dầu, Tổ 4, ấp Gành Dầu, xã Gành Dầu, huyện Phú Quốc, tỉnh Kiên Giang</t>
  </si>
  <si>
    <t>56HGL00296</t>
  </si>
  <si>
    <t>Trụ sở CN online Võ Chí Công Tầng 1, tòa nhà N01T4 Khu Ngoại giao đoàn, Phường Xuân Tảo, Bắc Từ Liêm, Hà Nội</t>
  </si>
  <si>
    <t>56HGL00288</t>
  </si>
  <si>
    <t>Trung tâm huấn luyện Miếu Môn, Xã Đồng Tâm, huyện Mỹ Đức, TP Hà Nội</t>
  </si>
  <si>
    <t>56HGL00269</t>
  </si>
  <si>
    <t>189 Lâm Tiên, Thị trấn Đông Anh, Huyện Đông Anh, TP HN</t>
  </si>
  <si>
    <t>56HGL00277</t>
  </si>
  <si>
    <t>Tổ 2, ấp Đường Bào, xã Dương Tơ, huyện Phú Quốc, tỉnh Kiên Giang</t>
  </si>
  <si>
    <t>56HGL00289</t>
  </si>
  <si>
    <t>BCH Quân sự Tp Cần Thơ, Khu vực 2, phường Hưng Thạnh, quận Cái Răng, TP Cần Thơ</t>
  </si>
  <si>
    <t>56HGL00283</t>
  </si>
  <si>
    <t>Khu Công nghiệp Trà Nóc 1, P. Trà Nóc, Q.Bình Thủy, Tp.Cần Thơ</t>
  </si>
  <si>
    <t>56HGL00284</t>
  </si>
  <si>
    <t>Trung tâm huấn luyện 334, Sơn Tây, Hà Nội</t>
  </si>
  <si>
    <t>56HGL00287</t>
  </si>
  <si>
    <t>Thị trấn Cửa Việt, Gio Linh, Quảng Trị</t>
  </si>
  <si>
    <t>56HGL00293</t>
  </si>
  <si>
    <t>Học viện Hậu cần, cơ sở 2 xã Kim Sơn, thị xã Sơn Tây, TP. Hà Nội</t>
  </si>
  <si>
    <t>56HGL00292</t>
  </si>
  <si>
    <t>Sư đoàn 341 xã Đông Tân, TP Thanh Hóa, tỉnh Thanh Hóa</t>
  </si>
  <si>
    <t>56HGL00290</t>
  </si>
  <si>
    <t>Đại học Kinh tế Quốc dân, số 207 Giải Phóng, Hai Bà Trưng, Hà Nội</t>
  </si>
  <si>
    <t>56HGL03505</t>
  </si>
  <si>
    <t>Xã Yên Bài, Huyện Ba Vì, TP Hà Nội</t>
  </si>
  <si>
    <t>56HGL03508</t>
  </si>
  <si>
    <t>Công ty TTB Việt Nam, Thôn Tăng Quang, Bích Sơn, Việt Yên, Bắc Giang</t>
  </si>
  <si>
    <t>56HGL03509</t>
  </si>
  <si>
    <t>Công ty Tín Phát, Thôn Hậu, Đại Lâm, Lạng Giang, Bắc Giang</t>
  </si>
  <si>
    <t>56HGL03515</t>
  </si>
  <si>
    <t>Khu Công nghiệp Đại An, Km 51 Quốc lộ 5B, Phường Tứ Minh, Thành phố Hải Dương, Tỉnh Hải Dương</t>
  </si>
  <si>
    <t>56HGL03516</t>
  </si>
  <si>
    <t>Trung đoàn 165, Bắc Sơn, Sóc Sơn, Hà Nội</t>
  </si>
  <si>
    <t>56HGL03517</t>
  </si>
  <si>
    <t>56HGL03518</t>
  </si>
  <si>
    <t>PGD Xuân Diệu tại 114 Xuân Diệu, Quảng An, Tây Hồ, Hà Nội</t>
  </si>
  <si>
    <t>56HGL03519</t>
  </si>
  <si>
    <t>Trung đoàn 338, Xã Tú Đoạn, huyện Lộc Bình, thành phố Lạng Sơn</t>
  </si>
  <si>
    <t>56HGL03520</t>
  </si>
  <si>
    <t>CTCP Lâm Sản Nam Định, Xã Thành Lợi, Huyện Vụ Bản, Tỉnh Nam Định</t>
  </si>
  <si>
    <t>56HGL03522</t>
  </si>
  <si>
    <t>Khu công nghiệp Bảo Minh, Bắc Lương, Cát Thành, Nam Định</t>
  </si>
  <si>
    <t>56HGL03525</t>
  </si>
  <si>
    <t>Sư đoàn 304, Huyện Bình Xuyên, Tỉnh Vĩnh Phúc</t>
  </si>
  <si>
    <t>56HGL03537</t>
  </si>
  <si>
    <t>Lô A38-NV16 ô số 11 và ô số 12, Khu đô thị mới hai bên đường Lê Trọng Tấn, xã An Khánh, huyện Hoài Đức, TP Hà Nội</t>
  </si>
  <si>
    <t>56HGL03539</t>
  </si>
  <si>
    <t>PGD Trúc Bạch,20 Nguyễn Trường Tộ, Ba Đình, Hà Nội</t>
  </si>
  <si>
    <t>56HGL03540</t>
  </si>
  <si>
    <t>Lữ đoàn 45, Xã Cổ Đông, Thị xã Sơn Tây</t>
  </si>
  <si>
    <t>56HGL03544</t>
  </si>
  <si>
    <t>Bệnh viện 105, Trung Sơn Trầm, tx Sơn Tây, TP Hà Nội.</t>
  </si>
  <si>
    <t>56HGL03545</t>
  </si>
  <si>
    <t>Khu công nghiệp Phú Nghĩa, Hà Đông, Hà Nội</t>
  </si>
  <si>
    <t>56HGL03546</t>
  </si>
  <si>
    <t>Trụ sở PGD LLQ, 60D5C khu biệt thự Vườn Đào – Lạc Long Quân – Tây Hồ – Hà Nội – Việt Nam</t>
  </si>
  <si>
    <t>56HGL03547</t>
  </si>
  <si>
    <t>Trung đoàn 209 – Sư đoàn 312, Phường Thắng Lợi, Sông Công, Thái Nguyên</t>
  </si>
  <si>
    <t>56HGL03548</t>
  </si>
  <si>
    <t>56HGL03549</t>
  </si>
  <si>
    <t>Công ty Đại Dương, Xã Trường Lâm Huyện Tĩnh Gia Thanh Hóa</t>
  </si>
  <si>
    <t>56HGL03550</t>
  </si>
  <si>
    <t>Nhà máy Z129 BQP, Xã Đội Bình - Yên Sơn - Tuyên Quang</t>
  </si>
  <si>
    <t>56HGL03551</t>
  </si>
  <si>
    <t>Số 155, Đường Bình Thuận, Phường Tân Quang, TP Tuyên Quang</t>
  </si>
  <si>
    <t>56HGL03552</t>
  </si>
  <si>
    <t>QL2, Chí Đảm, Đoan Hùng, Phú Thọ</t>
  </si>
  <si>
    <t>56HGL03553</t>
  </si>
  <si>
    <t>Khuôn viên Trung đoàn không quân 921, Phường Nam Cường, TP Yên Bái, tỉnh Yên Bái</t>
  </si>
  <si>
    <t>56HGL03503</t>
  </si>
  <si>
    <t>Lữ đoàn 962, Phường Mỹ Bình, TP. Long Xuyên, An Giang</t>
  </si>
  <si>
    <t>56HGL03504</t>
  </si>
  <si>
    <t>Lữ đoàn 6, Phường Bình Đức, TP. Long Xuyên, An Giang</t>
  </si>
  <si>
    <t>56HGL03526</t>
  </si>
  <si>
    <t>Công ty Tân Cảng Hữu Phú, Khu phố 4, Phường Phú Hữu, Quận 9, Tp Hồ Chí Minh</t>
  </si>
  <si>
    <t>56HGL03528</t>
  </si>
  <si>
    <t>Lữ Đoàn 167, Thôn 2, xã Long Sơn, TP Vũng Tàu</t>
  </si>
  <si>
    <t>56HGL03530</t>
  </si>
  <si>
    <t>Ban chỉ huy quân sự tỉnh Bình Phước, 1438, QL 14, Xã Tiến Thành, Thị Xã Đồng Xoài, Bình Phước</t>
  </si>
  <si>
    <t>56HGL03531</t>
  </si>
  <si>
    <t>Số 500 đường Trần Văn Thời, phường 6, TP Cà Mau, tỉnh Cà Mau</t>
  </si>
  <si>
    <t>56HGL03532</t>
  </si>
  <si>
    <t>Trụ sở CN, số 204-206 Nguyễn Huệ, Phường 2, TP Cao Lãnh, Tỉnh Đồng Tháp</t>
  </si>
  <si>
    <t>56HGL03533</t>
  </si>
  <si>
    <t>Phòng giao dịch Lâm Hà, 750 Hùng Vương, Thị Trấn Đinh Văn, Lâm Hà, Lâm Đồng</t>
  </si>
  <si>
    <t>56HGL03542</t>
  </si>
  <si>
    <t>PGD Cư M'gar tại Số 66 đường Hùng Vương, thị trấn Quảng Phú, huyện Cư M'gar, tỉnh ĐăkLăk</t>
  </si>
  <si>
    <t>56HGL03535</t>
  </si>
  <si>
    <t>Trung Tâm Thương Mại GIGAMAL, 240 - 242 Phạm Văn Đồng, Hiệp Bình Chánh, Thủ Đức, TP. HCM</t>
  </si>
  <si>
    <t>56HGL03506</t>
  </si>
  <si>
    <t>Tiểu đoàn 565, Vùng 5 Hải Quân Việt Nam , Đường Nguyễn Văn Cừ, Khu phố 6, Thị trấn An Thới, Huyện Phú Quốc, tỉnh Kiên Giang</t>
  </si>
  <si>
    <t>56HGL03511</t>
  </si>
  <si>
    <t>Lữ đoàn 950, Đường Suổi Cái, Gành Dầu, Xóm mới, Bãi Thơm, Phú Quốc</t>
  </si>
  <si>
    <t>56HGL03521</t>
  </si>
  <si>
    <t>Ấp Bát Lê, Cửa Cạn , Phú Quốc</t>
  </si>
  <si>
    <t>56HGL03529</t>
  </si>
  <si>
    <t>PGD QUẬN 8, 310-312 Liên Tỉnh 5, Phường 6, Quận 8, HCM</t>
  </si>
  <si>
    <t>56HGL03534</t>
  </si>
  <si>
    <t>Ấp 3 , Xã Sơn Đông,Thành Phố Bến Tre, Tỉnh Bến Tre</t>
  </si>
  <si>
    <t>56HGL03536</t>
  </si>
  <si>
    <t>Trường TH Suối Ngô B, Ấp 7, Suối Ngô, Huyện Tân Châu, Tây Ninh</t>
  </si>
  <si>
    <t>56HGL03538</t>
  </si>
  <si>
    <t>Ban chỉ huy quân sự tỉnh Trà Vinh, Nguyễn Thị Minh Khai K7p7 Thị Xã Trà Vinh, Phường 7, Trà Vinh</t>
  </si>
  <si>
    <t>56HGL03541</t>
  </si>
  <si>
    <t>Cty Tỷ Bách, Khu công nghiệp Bình Minh, ấp Mỹ Lợi, xã Mỹ Hòa, Thị xã Bình Minh</t>
  </si>
  <si>
    <t>56HGL03543</t>
  </si>
  <si>
    <t>56HGL03513</t>
  </si>
  <si>
    <t>PGD Long Điền, Số 48 tổ 6 ấp Lò Vôi, Phước Hưng, Long Điền, Bà Rịa Vũng Tàu</t>
  </si>
  <si>
    <t>56HGL03512</t>
  </si>
  <si>
    <t>Trung đoàn 261, 104/1 Nguyễn Thiện Thuật, Phường Thắng Nhất, TP. Vũng Tàu</t>
  </si>
  <si>
    <t>56HGL03507</t>
  </si>
  <si>
    <t>Chung cư Mường thanh Viễn Triều, Số 03-05 Phạm Văn Đồng. P Vĩnh Phước, TP Nha Trang, Khánh Hòa</t>
  </si>
  <si>
    <t>56HGL03523</t>
  </si>
  <si>
    <t>Nhà hàng bia tươi Louisiana, Lô 29 Công Viên Trần Phú, Lộc Thọ, Nha Trang, Khánh Hòa</t>
  </si>
  <si>
    <t>56HGL03524</t>
  </si>
  <si>
    <t>Xưởng Công nghệ thông tin - Bộ Tham Mưu - Quân Khu IV, Nghi Kim, Thành Phố Vinh, Nghệ An</t>
  </si>
  <si>
    <t>56HGL03527</t>
  </si>
  <si>
    <t>Nghĩa Phú, Quảng Ngãi</t>
  </si>
  <si>
    <t>56HGL03510</t>
  </si>
  <si>
    <t>MB Hội An tại địa chỉ 594 Hai Bà Trưng, Hội An, Quảng Nam</t>
  </si>
  <si>
    <t>56HGL03514</t>
  </si>
  <si>
    <t>HĐ 02</t>
  </si>
  <si>
    <t>56HG707962</t>
  </si>
  <si>
    <t>Tòa nhà An &amp; Huy, Khu CN Ngọc Hồi, Thanh Trì, Hà Nội</t>
  </si>
  <si>
    <t>56HG707968</t>
  </si>
  <si>
    <t>Nhà máy Z179 - Thanh Trì, Hà Nội</t>
  </si>
  <si>
    <t>56HG707937</t>
  </si>
  <si>
    <t>Trường Sỹ Quan Lục Quân, Xã Cổ Đông, TX Sơn Tây, TP Hà Nội</t>
  </si>
  <si>
    <t>56HG707943</t>
  </si>
  <si>
    <t>Thôn Liên Minh, Xã Thụy An, Huyện Ba Vì, TP Hà Nội</t>
  </si>
  <si>
    <t>56HG707953</t>
  </si>
  <si>
    <t>Số 279 A phố Chùa Thông, Sơn Tây, thành phố Hà nội</t>
  </si>
  <si>
    <t>56HG707939</t>
  </si>
  <si>
    <t>Xã Hoàng Khai, huyện Yên Sơn, tỉnh Tuyên Quang</t>
  </si>
  <si>
    <t>56HG707949</t>
  </si>
  <si>
    <t>Công ty TNHH MTV Cơ Khí Hóa chất 13, TT Tân Bình, Huyện Yên Sơn, Tỉnh Tuyên Quang</t>
  </si>
  <si>
    <t>56HG707946</t>
  </si>
  <si>
    <t>Số 24 - Lý Thái Tổ - Đại Phúc - TP. Bắc Ninh.</t>
  </si>
  <si>
    <t>56HG707958</t>
  </si>
  <si>
    <t>Xã Tân Dương, Huyện Thủy Nguyên, TP.Hải Phòng</t>
  </si>
  <si>
    <t>56HG707956</t>
  </si>
  <si>
    <t>Công ty TNHH Công Nghiệp Hạ Long- CFG – KCN Khánh Cư, xã Khánh Cư, huyện Yên Khánh, tỉnh Ninh Bình</t>
  </si>
  <si>
    <t>56HG707986</t>
  </si>
  <si>
    <t>PGD Duy Tiên, Khu Công nghiệp Đồng Văn, TT Đồng Văn, Huyện Duy Tiên, Tỉnh Hà Nam</t>
  </si>
  <si>
    <t>56HG707947</t>
  </si>
  <si>
    <t>Số 29 Lê Đại Hành. Quận Hai Bà Trưng, Hà Nội</t>
  </si>
  <si>
    <t>56HG707932</t>
  </si>
  <si>
    <t>Thửa số 58 Cụm CN làng nghề phía Nam TT Lâm, huyện Ý Yên, tỉnh Nam Định</t>
  </si>
  <si>
    <t>56HG707948</t>
  </si>
  <si>
    <t>Lữ đoàn 215 - Binh chủng Tăng Thiết Giáp, Quỳnh Châu, Quỳnh Lưu, Nghệ An</t>
  </si>
  <si>
    <t>56HG707950</t>
  </si>
  <si>
    <t>Km6 Đại lộ Thăng Long, Phường Tây Mỗ, Quận Nam Từ Liêm, TP Hà Nội</t>
  </si>
  <si>
    <t>56HG707945</t>
  </si>
  <si>
    <t>Phường Xuân Hòa, TX Phúc Yên, Vĩnh Phúc</t>
  </si>
  <si>
    <t>56HG707930</t>
  </si>
  <si>
    <t>CN Việt Trì, 1596 Đại lộ Hùng Vương, TP Việt Trì</t>
  </si>
  <si>
    <t>56HG707944</t>
  </si>
  <si>
    <t>Xã Tích Lương - Tp Thái Nguyên, Tỉnh Thái Nguyên</t>
  </si>
  <si>
    <t>56HG707951</t>
  </si>
  <si>
    <t>Lô 1, Khu CN Hòa Xá, TP Nam Định, Tỉnh Nam Định</t>
  </si>
  <si>
    <t>56HG707985</t>
  </si>
  <si>
    <t>Số 65 đường Trần Hưng Đạo, Thị xã Phúc Yên, Tỉnh Vĩnh Phúc</t>
  </si>
  <si>
    <t>56HG707954</t>
  </si>
  <si>
    <t>Cổng Xí nghiệp 2, xã Trung Giáp, Huyện Phù Ninh, Phú Thọ</t>
  </si>
  <si>
    <t>56HG707965</t>
  </si>
  <si>
    <t>Lô E3-E3', KCN Phúc Khánh, TP Thái Bình, Tỉnh Thái Bình</t>
  </si>
  <si>
    <t>56HG707940</t>
  </si>
  <si>
    <t>Khu 3, TT Ning Giang, Huyện Ninh Giang, Tỉnh Hải Dương</t>
  </si>
  <si>
    <t>56HG707960</t>
  </si>
  <si>
    <t>KCN Yên Phong, xã Long Châu, Huyện Yên Phong, Tỉnh Bắc Ninh</t>
  </si>
  <si>
    <t>56HG707955</t>
  </si>
  <si>
    <t>Thị Trân Đu, Huyện Phú Lương, Tỉnh Thái Nguyên</t>
  </si>
  <si>
    <t>56HG707941</t>
  </si>
  <si>
    <t>Đường Quang Trung, P Chi Lăng, TP Lạng Sơn</t>
  </si>
  <si>
    <t>56HG707936</t>
  </si>
  <si>
    <t>Xã Hương Sơn, Huyện Bình Xuyên, Tỉnh Vĩnh Phúc</t>
  </si>
  <si>
    <t>56HG707961</t>
  </si>
  <si>
    <t>PGD Chí Linh (Số 10 Thái Học 2, Sao đỏ, Chí Linh), thị xã Chí Linh, Hải Dương</t>
  </si>
  <si>
    <t>56HG707977</t>
  </si>
  <si>
    <t>Công ty TNHH Vinasolar Technology Khu công nghiệp Vân Trung, xã Vân Trung, huyện Việt Yên, tỉnh Bắc Giang</t>
  </si>
  <si>
    <t>56HG707990</t>
  </si>
  <si>
    <t>PGD Lục Nam - Số 375 Phố Bình Minh, TT Đồi Ngô, Huyện Lục Nam , TT Bắc Giang</t>
  </si>
  <si>
    <t>56HG707959</t>
  </si>
  <si>
    <t>Tòa nhà Cổ Loa, Tổ 3, TT Đông Anh, Hà Nội</t>
  </si>
  <si>
    <t>56HG707969</t>
  </si>
  <si>
    <t>Nhà ga hành khách T1, tại Tầng 1 sảnh Công cộng, Cảng Hàng không Quốc Tế Nội Bài, Sóc Sơn, Hà Nội</t>
  </si>
  <si>
    <t>56HG707933</t>
  </si>
  <si>
    <t>Số 148 Nguyễn Tất Thành, Tổ dân phố 3B, Thị Trấn EAKAR, Tỉnh ĐăkLăk</t>
  </si>
  <si>
    <t>56HG707979</t>
  </si>
  <si>
    <t>Đài PTTH Cam Lâm, thị trấn Cam Đức, Huyện Cam Lâm, Khánh Hòa</t>
  </si>
  <si>
    <t>56HG707970</t>
  </si>
  <si>
    <t>Số 151, Nguyễn Chí Thanh, Phường Cam Nghĩa, Cam Ranh, Khánh Hòa</t>
  </si>
  <si>
    <t>56HG707992</t>
  </si>
  <si>
    <t>Kho K856, Cục Quân Khí - Xã Hướng Hiệp, Huyện ĐắKrông, Quảng Trị</t>
  </si>
  <si>
    <t>56HG707975</t>
  </si>
  <si>
    <t>Tổ dân phố 2, Mỹ Cương, Phường Bắc Nghĩa, TP Đồng Hới, Quảng Bình</t>
  </si>
  <si>
    <t>56HG707981</t>
  </si>
  <si>
    <t>199 Đống Đa, Q. hải Châu, TP. Đà Nẵng</t>
  </si>
  <si>
    <t>56HG707974</t>
  </si>
  <si>
    <t>Xã Cát Hanh, Huyện Phù Cát, Tỉnh Bình Định</t>
  </si>
  <si>
    <t>56HG707957</t>
  </si>
  <si>
    <t>114 Trần Hưng Đạo, TP Quy Nhơn, tỉnh Bình Định</t>
  </si>
  <si>
    <t>56HG707982</t>
  </si>
  <si>
    <t>99A-101 Hùng Vương, TP Tuy Hòa, Phú Yên</t>
  </si>
  <si>
    <t>56HG707931</t>
  </si>
  <si>
    <t>Số 868 Hùng Vương, Huyện Chư Sê, Gia Lai</t>
  </si>
  <si>
    <t>56HG707964</t>
  </si>
  <si>
    <t>Thôn Uất Lâm, xã Hòa Hiệp Bắc, huyện Đông Hòa, tỉnh Phú Yên</t>
  </si>
  <si>
    <t>56HG707967</t>
  </si>
  <si>
    <t>CN Công ty Phú Tài - Nhà Máy chế biến Gỗ Phù Cát, Lô B1-B7 Cụm CN Cát Nhơn, Phù Cát, Bình Định</t>
  </si>
  <si>
    <t>56HG707973</t>
  </si>
  <si>
    <t>03 Hoàng Hoa Thám, Phừơng 6, Quận Bình Thạnh, TPHCM</t>
  </si>
  <si>
    <t>56HG707976</t>
  </si>
  <si>
    <t>Công ty Legamex số 15 Trường Sơn, Phường 15, Quận 10, TP.HCM</t>
  </si>
  <si>
    <t>56HG707983</t>
  </si>
  <si>
    <t>102 Phổ Quang, P.2, Tân Bình, TP.HCM</t>
  </si>
  <si>
    <t>56HG707988</t>
  </si>
  <si>
    <t>Lô A2-7 Đường số N4 - KCN Tây Bắc Củ Chi, Ấp Cấy Sộp, Xã Tân An Hội - Huyện Củ Chi, TP HCM.</t>
  </si>
  <si>
    <t>56HG707971</t>
  </si>
  <si>
    <t>CN Tân Cảng - 150 Đường D2 P25 Quận Bình Thạnh, Tp.HCM</t>
  </si>
  <si>
    <t>56HG707963</t>
  </si>
  <si>
    <t>8/3,Ấp Thanh Hóa, Hố Nai 3, Trảng Bom, Đồng Nai</t>
  </si>
  <si>
    <t>56HG707987</t>
  </si>
  <si>
    <t>Thửa đất số 147; 149; 159, tờ bản đồ 18, tỉnh lộ 942, ấp Thị, Thị trấn Chợ Mới, tỉnh An Giang,</t>
  </si>
  <si>
    <t>56HG707978</t>
  </si>
  <si>
    <t>Sư Đoàn 330, tỉnh lộ 948, TT Chi Lăng, Huyện Tịnh Biên, Tỉnh An Giang</t>
  </si>
  <si>
    <t>56HG707980</t>
  </si>
  <si>
    <t>Số 432 đường 30/04, khu phố 2, phường Mỹ Phước, TX.Bến Cát, Bình Dương.</t>
  </si>
  <si>
    <t>56HG707938</t>
  </si>
  <si>
    <t>Thửa đất số 53, tờ bản đồ số 10, đường ĐT 747, phường Uyên Hưng, TX.Tân Uyên,</t>
  </si>
  <si>
    <t>56HG707934</t>
  </si>
  <si>
    <t>Thửa đất số 204, tờ bản đồ 35, phố Phú Trung, phường An Lộc, tx Bình Long, tỉnh Bình Phước</t>
  </si>
  <si>
    <t>56HG707952</t>
  </si>
  <si>
    <t>Khu phố 5, phường Long Phước, tx Phước Long, tỉnh Bình phước</t>
  </si>
  <si>
    <t>56HG707966</t>
  </si>
  <si>
    <t>433 Đường Nguyễn Tất Thành, Thị Trấn Chợ Lầu, Huyện Bắc Bình, Bình Thuận</t>
  </si>
  <si>
    <t>56HG707991</t>
  </si>
  <si>
    <t>Xã Long Sơn, TP Vũng Tàu, tỉnh Bà Rịa Vũng Tàu</t>
  </si>
  <si>
    <t>56HG707989</t>
  </si>
  <si>
    <t>Số 1D – 1E Hoàng Thái Hiếu, Phường 1, TP. Vĩnh Long, tỉnh Vĩnh Long, Việt Nam</t>
  </si>
  <si>
    <t>56HG707972</t>
  </si>
  <si>
    <t>Số 26 Lê Duẩn, Khóm 7, Phường 3, TP Sóc Trăng, Tỉnh Sóc Trăng</t>
  </si>
  <si>
    <t>56HG707942</t>
  </si>
  <si>
    <t>90A3 ĐL Đồng Khởi, Phường Phú Tân, TP. Bến Tre</t>
  </si>
  <si>
    <t>56HG707984</t>
  </si>
  <si>
    <t>Trường Quân sự Quân Khu 9, Đường Trần Hưng Đạo, Phường 3, TP Sóc Trăng, Tỉnh Sóc Trăng</t>
  </si>
  <si>
    <t>56HG707935</t>
  </si>
  <si>
    <t>Khối An Tân, Phường Cẩm An, TP Hội An, Tỉnh Quảng Nam</t>
  </si>
  <si>
    <t>BẢNG TỔNG KẾT SERVICES AGRIBANK THEO CHU KỲ</t>
  </si>
  <si>
    <t>CK3</t>
  </si>
  <si>
    <t>CK4</t>
  </si>
  <si>
    <t>HĐ 56</t>
  </si>
  <si>
    <t>Số 2 Láng Hạ - Q.Ba Đình - Hà Nội</t>
  </si>
  <si>
    <t>Sảnh tầng 1 tòa nhà Diamond Flower, 48 Lê Văn Lương, Thanh Xuân, Hà Nội</t>
  </si>
  <si>
    <t>Số 75 Phương Mai, Hà Nội</t>
  </si>
  <si>
    <t>Số 9 Nguyễn Cảnh Chân - Ba Đình - Hà Nội</t>
  </si>
  <si>
    <t>Số 1 Hùng Vương, Ba Đình, Hà Nội</t>
  </si>
  <si>
    <t>PGD Pháp Vân-tầng 1, nơ 7, KĐT Pháp Vân, Tứ Hiệp</t>
  </si>
  <si>
    <t>P 107, CC2 Bắc Linh Đàm - Hà Nội</t>
  </si>
  <si>
    <t>Tòa nhà Quốc hội, Bắc Sơn, Ba Đình, Hà Nội</t>
  </si>
  <si>
    <t>154A Tôn Đức Thắng, Q.Đống Đa, Hà Nội</t>
  </si>
  <si>
    <t>171 Nguyễn Trãi, Thanh Xuân, Hà Nội</t>
  </si>
  <si>
    <t>739 Lạc Long Quân, Tây Hồ, Hà Nội</t>
  </si>
  <si>
    <t>Thị trấn Thường Tín - HN</t>
  </si>
  <si>
    <t>Đường Thừa Dụ - Thị trấn Ninh Giang - H. Ninh Giang - T. Hải Dương</t>
  </si>
  <si>
    <t>Phố Lê Bình - TT Thanh Miến, H. Thanh Miện - T. Hải Dương</t>
  </si>
  <si>
    <t>Khu 1- TT Thanh Hà -H. Thanh Hà - T. Hải Dương</t>
  </si>
  <si>
    <t>NHNo Tứ Kỳ - Đường 391 H. Tứ Kỳ - T. Hải Dương</t>
  </si>
  <si>
    <t>Thị trấn Nam Sách - H. Nam Sách - T. Hải Dương</t>
  </si>
  <si>
    <t>Phố Phúc Lâm - Thị trấn An Lưu - H. Kinh Môn - T. Hải Dương</t>
  </si>
  <si>
    <t>Thị trấn Lương Bằng - Kim Động - Hưng Yên</t>
  </si>
  <si>
    <t>Thị trấn Cao, huyện Phù Cừ, Hưng Yên</t>
  </si>
  <si>
    <t>Thị trấn Khoái Châu - H. Khoái Châu - Hưng Yên</t>
  </si>
  <si>
    <t>Thị trấn Ân Thi - H. Ân Thi - Hưng Yên</t>
  </si>
  <si>
    <t>Thị trấn Vương - Tiên Lữ - Hưng Yên</t>
  </si>
  <si>
    <t>Thị trấn Văn Giang - H. Văn Giang - Hưng Yên</t>
  </si>
  <si>
    <t>Tiểu khu 2 - Thị trấn Thắng - H. Hiệp Hòa - Bắc Giang</t>
  </si>
  <si>
    <t>NHNo Lục Ngạn, thị trấn Chũ, Lục Ngạn, Bắc Giang</t>
  </si>
  <si>
    <t>37 Nguyễn Đăng Đạo, P. Suối Hoa, Bắc Ninh</t>
  </si>
  <si>
    <t>38 Nguyễn Đăng Đạo, P. Suối Hoa, Bắc Ninh</t>
  </si>
  <si>
    <t>NHNo Tiên Sơn, Bắc Ninh</t>
  </si>
  <si>
    <t>2454 Đại Lộ Hùng Vương - Vân Cơ - Việt Trì - Phú Thọ</t>
  </si>
  <si>
    <t>Thị trấn Đoan Hùng - Phú Thọ</t>
  </si>
  <si>
    <t>Khu 11 - Thị trấn Thanh Ba - H.Thanh Ba - Phú Thọ</t>
  </si>
  <si>
    <t>KM2 - đường 315- TX.Phú Thọ - Phú Thọ</t>
  </si>
  <si>
    <t>PGD Nam Vĩnh Yên, Khai Quan, Vĩnh Yên, Vĩnh Phúc</t>
  </si>
  <si>
    <t>NHNo Vĩnh Tường - Vĩnh Tường - Vĩnh Phúc</t>
  </si>
  <si>
    <t>Thị trấn Xuân Hòa - H.Lập Trạch - Vĩnh Phúc</t>
  </si>
  <si>
    <t>UBND Huyện Vĩnh Tường, Vĩnh Phúc</t>
  </si>
  <si>
    <t>Thôn Đại Bái - Xã Đại Thịnh - Mê Linh - Hà Nội</t>
  </si>
  <si>
    <t>Hợp Châu - Tam Đảo - Vĩnh Phúc</t>
  </si>
  <si>
    <t>Cty CP Giày Phúc Yên - Đường Trần Phú - P.Phúc Thắng - Phúc Yên - Vĩnh Phúc</t>
  </si>
  <si>
    <t>BV Phúc Yên - P.Hùng Vương - Phúc Yên - Vĩnh Phúc</t>
  </si>
  <si>
    <t>Thị trấn Hoà Mạc - H. Duy Tiên - Hà Nam</t>
  </si>
  <si>
    <t>Thị trấn Vĩnh Trụ, huyện Lý Nhân, Hà Nam</t>
  </si>
  <si>
    <t>KCN Nhổn, Nam Từ Liêm, Hà Nội</t>
  </si>
  <si>
    <t>PGD Chèm, Đường Đông Ngạc, xã Đông Ngạc, Từ Liêm</t>
  </si>
  <si>
    <t>PGD Đại học Nông Nghiệp 1- Trân Quỳ- Gia Lâm</t>
  </si>
  <si>
    <t>Thị trấn Sóc Sơn, huyện Sóc Sơn</t>
  </si>
  <si>
    <t>Thị trấn Xuân Trường- Xuân Trường - Nam Định</t>
  </si>
  <si>
    <t>Thị trấn Cổ Lễ, huyện Trực Ninh, Nam Định</t>
  </si>
  <si>
    <t>PGD Mỹ Thắng, xã Mỹ Thắng, huyện Mỹ Lộc, Nam Định</t>
  </si>
  <si>
    <t>NHNo Yên Khánh, H.Yên Khánh, Ninh Bình</t>
  </si>
  <si>
    <t>NHNo Gia Viễn, Thị trấn Me, Ninh Bình</t>
  </si>
  <si>
    <t>Thị trấn Quỳnh Côi, H. Quỳnh Phụ, Thái Bình</t>
  </si>
  <si>
    <t>Thị trấn Hưng Hà, H. Hưng Hà, Thái Bình</t>
  </si>
  <si>
    <t>146 phố Môi, thị trấn Môi, Thanh Hóa</t>
  </si>
  <si>
    <t>108 đường Trần Phú, Ba Đình, TX. Bỉm Sơn, Thanh Hóa</t>
  </si>
  <si>
    <t>Thị trấn Còng, huyện Tĩnh Gia, Thanh Hóa</t>
  </si>
  <si>
    <t>Thị trấn Ngọc Lặc, Ngọc Lặc, Thanh Hóa</t>
  </si>
  <si>
    <t>Xã Yên Sơn, H.Đô Lương, Nghệ An</t>
  </si>
  <si>
    <t>Khối 4, Thị trấn Diễn Châu, H.Diễn Châu, Nghệ An</t>
  </si>
  <si>
    <t>Xóm 22, xã Nghi Trung, H.Nghi Lộc, Nghệ An</t>
  </si>
  <si>
    <t>Khối 1 - Thị trấn Hoàng Mai - Quỳnh Lưu - Nghệ An</t>
  </si>
  <si>
    <t>Xóm Hợp Thuận, xã Xuân Phổ, Nghi Xuân, Hà Tĩnh</t>
  </si>
  <si>
    <t>Thôn Trung Nam, xã Lâm Trung Thủy, H. Đức Thọ, T. Hà Tĩnh</t>
  </si>
  <si>
    <t>42 Trần Phú - TX. Hồng Lĩnh- Hà Tĩnh</t>
  </si>
  <si>
    <t>Xóm 1 Nam Sơn - Thị trấn Nghèn - Can Lộc - Hà Tĩnh</t>
  </si>
  <si>
    <t>NHNo Đức Thọ, xóm 5 thị trấn Đức Thọ, Đức Thọ</t>
  </si>
  <si>
    <t>Đường 1 A Thị trấn Kỳ Anh</t>
  </si>
  <si>
    <t>Đường 1 A Cẩm Xuyên - Hà Tĩnh</t>
  </si>
  <si>
    <t>Thị trấn Phong Thổ, Lai Châu</t>
  </si>
  <si>
    <t>Thị trấn Than Uyên, Lai Châu</t>
  </si>
  <si>
    <t>Tiểu khu 7 T.trấn Mộc Châu, H. Mộc Châu, Sơn La</t>
  </si>
  <si>
    <t>139 Nguyễn Văn Cừ, p. Hồng Hà, TP Hạ Long</t>
  </si>
  <si>
    <t>Trụ sở NHNo Hoành Bồ, Khu 4 thị trấn Trới, Hoành Bồ, Quảng Ninh</t>
  </si>
  <si>
    <t>Trụ sở NHNo Vân Đồn, Khu 5 thị trấn Cái Rồng, Vân Đồn, Quảng Ninh</t>
  </si>
  <si>
    <t>Trụ sở NHNo Tiên Yên, 2C phố Hoà Bình, thị trấn Tiên Yên, Quảng Ninh</t>
  </si>
  <si>
    <t>Trụ sở NHNo Hải Hà, 18 Lý Thường Kiệt, Hải Hà</t>
  </si>
  <si>
    <t>Tổ Đăng Châu, Thị trấn Sơn Dương. Sơn Dương</t>
  </si>
  <si>
    <t>Tổ Trung Tâm 1, Thị trấn Vĩnh Lộc, Chiêm Hóa</t>
  </si>
  <si>
    <t>PGD Mỹ Lâm, Mỹ Bằng, Yên Sơn, Tuyên Quang</t>
  </si>
  <si>
    <t>Thị trấn Việt Quang, huyện Bắc Quang, Hà Giang</t>
  </si>
  <si>
    <t>Thị trấn Hoà Thuận, huyện Quảng Hoà, Cao Bằng</t>
  </si>
  <si>
    <t>Thị trấn Bình Gia, huyện Bình Gia, Lạng Sơn</t>
  </si>
  <si>
    <t>NHNo Đồng Bành, Chi Lăng, Lạng Sơn</t>
  </si>
  <si>
    <t>12 khối 6 TT Cao Lộc, huyện Cao Lộc, Lạng Sơn</t>
  </si>
  <si>
    <t>NHNo huyện Phú Lương, TT Đu, huyện Phú Lương, Thái Nguyên</t>
  </si>
  <si>
    <t>NHNo huyện Đồng Hỷ, thị trấn Chùa Hang, huyện Đồng Hỷ, Thái Nguyên</t>
  </si>
  <si>
    <t>479 Lương Ngọc Quyến, TP Thái Nguyên</t>
  </si>
  <si>
    <t>NHNo Sông Công CM10 Tân Quang, TP Sông Công</t>
  </si>
  <si>
    <t>Tổ 9 P. Nguyễn Thị Minh Khai , TP Bắc Cạn, Bắc Cạn</t>
  </si>
  <si>
    <t>Tổ 25, P. Tân An, Đường Điện Biên, TX. Nghĩa Lộ</t>
  </si>
  <si>
    <t>70 đường 19 tháng 5 - Thị trấn Phố Lu</t>
  </si>
  <si>
    <t>Nhà Khách Sa Pa, Đường Ngũ Chỉ Sơn, Thị trấn Sa Pa</t>
  </si>
  <si>
    <t>NHNo H.Tuần Giáo-Thị trấn Tuần Giáo, H.Tuần Giáo, Điện Biên</t>
  </si>
  <si>
    <t>Bệnh viện C17 - Đà Nẵng</t>
  </si>
  <si>
    <t>Trường Cao đẳng Du Lịch Đà Nẵng</t>
  </si>
  <si>
    <t>Sân bay Quốc tế Đà Nẵng</t>
  </si>
  <si>
    <t>Võ Văn Kiệt, Sơn Trà, Đà Nẵng - Gemma Hotel</t>
  </si>
  <si>
    <t>Số 02 Mẹ Suốt -TP. Đồng Hới</t>
  </si>
  <si>
    <t>01B Lê Quý Đôn- TX Đông Hà</t>
  </si>
  <si>
    <t>NHNo huyện Quảng Điền- T Trấn Sịa</t>
  </si>
  <si>
    <t>NHNo Phú Lộc- Thị trấn Phú Lộc</t>
  </si>
  <si>
    <t>PGD Lăng Cô- Thị trấn Lăng Cô</t>
  </si>
  <si>
    <t>06 Phan Bội Châu,TP.Tam Kỳ, Quảng Nam</t>
  </si>
  <si>
    <t>431 Hùng Vương, TP.Tam Kỳ, Quảng Nam</t>
  </si>
  <si>
    <t>255 đường Cửa Đại, p.Cẩm Châu, TP.Hội An</t>
  </si>
  <si>
    <t>Thôn Tiên Bình, Thị trấn Tiên Kỳ, huyện Tiên Phước</t>
  </si>
  <si>
    <t>Thôn Trung Tín 1, TT Tuy Phước, Tuy Phước, Bình Định</t>
  </si>
  <si>
    <t>Đường Thanh Niên, TT Phù Mỹ, Phù Mỹ, Bình Định</t>
  </si>
  <si>
    <t>119 Nguyễn Tất Thành - Thị trấn Tăng Bạt Hổ - Hoài Ân - Bình Định</t>
  </si>
  <si>
    <t>KCN Phước Tài - Đường Hùng Vương - P.Trần Quang Diệu, TP Quy Nhơn</t>
  </si>
  <si>
    <t>194 Trần Hưng Đạo, TP. Quảng Ngãi</t>
  </si>
  <si>
    <t>Thị trấn Phu Thứ, H.Tây Hoà, Phú Yên</t>
  </si>
  <si>
    <t>91-95 Nguyễn Tất Thành, Nha Trang, Khánh Hòa</t>
  </si>
  <si>
    <t>Trường ĐH Nha Trang, số 2 Nguyễn Đình Chiểu, Nha Trang, Khánh Hòa</t>
  </si>
  <si>
    <t>CN NHNo Chư Sê, 792 Hùng Vương, Chư Sê</t>
  </si>
  <si>
    <t>CN NHNo Ayunpa, 53 Nguyễn Huệ, Ayunpa</t>
  </si>
  <si>
    <t>35 Võ Thị Sáu - thị trấn Kbang, huyện Kbang, tỉnh Gia Lai</t>
  </si>
  <si>
    <t>CN NHNo Chư Păh, Hùng Vương, Chư Păh</t>
  </si>
  <si>
    <t>CN NHNo Đăk Đoa, 199 Nguyễn Huệ, Đăk Đoa - Gia Lai</t>
  </si>
  <si>
    <t>233 Hùng Vương, Thị trấn Đăk Tô, tỉnh Kon Tum</t>
  </si>
  <si>
    <t>Thị trấn Ea Kar- H. Ea Kar - Đắc Lắc</t>
  </si>
  <si>
    <t>Đường Nguyễn Tất Thành, TT Buôn Trấp, H.Krông Na</t>
  </si>
  <si>
    <t>Thị trấn Buôn Đôn</t>
  </si>
  <si>
    <t>KM 20 QL 27 -Eabhok- Thị trấn CưKcuin</t>
  </si>
  <si>
    <t>CN Đăk R’Lấp, Thị trấn Kiến Đức, H. Đăk R’Lấp</t>
  </si>
  <si>
    <t>CN Đăk Song, Thị trấn Đức An, H.Đăk Song</t>
  </si>
  <si>
    <t>15 Đường D5, P.25, Q. Bình Thạnh, TPHCM</t>
  </si>
  <si>
    <t>Tạ Quang Bửu, Q.8, Tp.HCM</t>
  </si>
  <si>
    <t>SATRA 460 3Tháng2, Q.10, TPHCM</t>
  </si>
  <si>
    <t>Số 41, Quốc lộ 91, Q.Thốt Nốt, Cần Thơ</t>
  </si>
  <si>
    <t>594 TL 921, Cờ Đỏ, TP. Cần Thơ</t>
  </si>
  <si>
    <t>8-10 Nam Kỳ Khởi Nghĩa - Ninh Kiều - TP Cần Thơ</t>
  </si>
  <si>
    <t>106 Phạm Văn Hai, P2, Q.Tân Bình, TP.HCM</t>
  </si>
  <si>
    <t>129 Bình Quới P27, Q. Bình Thạnh, Tp. HCM</t>
  </si>
  <si>
    <t>131 Quốc lộ 13, P.Hiệp Bình Chánh, Q.Thủ Đức</t>
  </si>
  <si>
    <t>Km28, Thị trấn Thuận Nam, H. Hàm Thuận Nam</t>
  </si>
  <si>
    <t>Thôn Quý Thạnh- Ngũ Phụng- Phú Quý</t>
  </si>
  <si>
    <t>49 Ngô Gia Tự, TP. Phan Rang - Tháp Chàm, Tỉnh Ninh Thuận</t>
  </si>
  <si>
    <t>185 KP3, Thị trấn Đình Văn, H.Lâm Hà</t>
  </si>
  <si>
    <t>104 đường 2/4 Thị trấn Thạnh Mỹ, H.Đơn Dương</t>
  </si>
  <si>
    <t>Finnom, Quốc lộ 20, Hiệp Thạnh, H.Đức Trọng, Lâm Đồng</t>
  </si>
  <si>
    <t>Thôn 2, xã Hòa Ninh, H.Hoà Ninh</t>
  </si>
  <si>
    <t>2 Lý Tự Trọng, TX. Bảo Lộc, Lâm Đồng</t>
  </si>
  <si>
    <t>Cty TNHH Hoang Gia Cát Tường (45 Yersin- P.Hiệp Thành- TX Thủ Dầu Một- B.Dương)</t>
  </si>
  <si>
    <t>Ấp Lò Vôi, xã Phước Hưng, Long Điền, tỉnh Bà Rịa - Vũng Tàu</t>
  </si>
  <si>
    <t>Quốc lộ 55 - Thị trấn Phước Bữu - Xuyên Mộc - BR-VT</t>
  </si>
  <si>
    <t>Quốc Lộ 51 - Ấp Vạn Hạnh - Thị trấn Phú Mỹ - Tân Thành - BR - VT</t>
  </si>
  <si>
    <t>43 A đường 30/04, F9, Vũng Tàu</t>
  </si>
  <si>
    <t>44 A đường 30/04, F9, Vũng Tàu</t>
  </si>
  <si>
    <t>927A P.Linh Tây, Thủ Đức</t>
  </si>
  <si>
    <t>161 Nguyễn Thị Tú, P. Bình Hưng Hòa, Q.Bình Tân</t>
  </si>
  <si>
    <t>241 Hậu Giang, Q.6, TPHCM</t>
  </si>
  <si>
    <t>639 Lê Văn Việt, P.Tân Phú, Q.9, Tp.HCM</t>
  </si>
  <si>
    <t>01 Lê Thị Riêng, P.Thới An, Q.12, TP.HCM</t>
  </si>
  <si>
    <t>22 Quang Trung, P.11, Q. Gò Vấp</t>
  </si>
  <si>
    <t>PGD Hưng Phú - B 13/18 Quốc lộ 50, xã Bình Hưng, Huyện Bình Chánh</t>
  </si>
  <si>
    <t>B9/1 QL1A, ấp 2, xã Bình Chánh, Huyện Bình Chánh</t>
  </si>
  <si>
    <t>Đường Rừng Sác, ấp Bình Phước, Bình Khánh</t>
  </si>
  <si>
    <t>26/1 QL.80, X.An Nhơn, H.Châu Thành, Đồng Tháp</t>
  </si>
  <si>
    <t>NHNo H. Cao Lãnh -172 Nguyễn Trãi, QL 30 Thị trấn Mỹ Thọ</t>
  </si>
  <si>
    <t>37 Nguyễn Tất Thành, Hồng Ngự, Đồng Tháp</t>
  </si>
  <si>
    <t>NHNo H.Lai Vung, Đg Lê Lợi, Thị trấn Lai Vung</t>
  </si>
  <si>
    <t>Số 1 QL 50 Thị trấn Cần Giuộc - Long An</t>
  </si>
  <si>
    <t>Ấp 2 Bình Phong Thạnh, Mộc Hóa, Long An</t>
  </si>
  <si>
    <t>Khu B - TT Hậu Nghĩa - Đức Hoà - Long An</t>
  </si>
  <si>
    <t>Khu B - Thị trấn Hậu Nghĩa - Đức Hoà - Long An</t>
  </si>
  <si>
    <t>01 Võ Văn Tần, TP. Tân An, Long An</t>
  </si>
  <si>
    <t>QL 91 Thị trấn An Châu, H. Châu Thành, An Giang</t>
  </si>
  <si>
    <t>10 Lê Lợi - Thị trấn Chợ Mới - H. Chợ Mới - An Giang</t>
  </si>
  <si>
    <t>Ấp Phú Hữu, Xã Phú Mỹ, H.Tân Phước, Tiền Giang</t>
  </si>
  <si>
    <t>Ấp Cá thị trấn Tân Hiệp, Tiền Giang</t>
  </si>
  <si>
    <t>Ấp Hòa Đông, xã Thạnh Hòa, huyện Tân Phước</t>
  </si>
  <si>
    <t>295 TLộ 925 Thị trấn Ngã Sáu, Châu Thành, Hậu Giang</t>
  </si>
  <si>
    <t>Số 1039 Đường Trần Hưng Đạo, P7, Thị trấn Vị Thanh, Hậu Giang</t>
  </si>
  <si>
    <t>Số 51 QL 61 Thị trấn Cái Tắc - H. Châu Thành A - Hậu Giang</t>
  </si>
  <si>
    <t>Hội sở chi nhánh NHNo Bến Tre</t>
  </si>
  <si>
    <t>Ấp Căn Cứ, xã Mỹ Thạnh, Giồng Trôm, Bến Tre</t>
  </si>
  <si>
    <t>108 Ấp Long Hoà - Giao Long - Châu Thành</t>
  </si>
  <si>
    <t>250 Trần Phú, P7, TP. Bạc Liêu</t>
  </si>
  <si>
    <t>Ấp cái dây, UBND T.trấn Châu Hưng, Vĩnh Lợi, Bạc Liêu</t>
  </si>
  <si>
    <t>NHNo Huyện Đông Hải, khu vực 3, Gành Hào, huyện Đông Hải, Bạc Liêu</t>
  </si>
  <si>
    <t>Khóm 2 Thị trấn Vũng Liêm, tỉnh Vĩnh Long</t>
  </si>
  <si>
    <t>30B Gia Long, Khu 1, Thị trấn Trà Ôn, Vĩnh Long</t>
  </si>
  <si>
    <t>Khóm 1, Thị trấn Duyên Hải, H. Duyên Hải, Trà Vinh</t>
  </si>
  <si>
    <t>Khóm 3 - Thị trấn Càng Long</t>
  </si>
  <si>
    <t>Cty chế biến TSXK Tắc Vân, 254B Quốc Lộ 1, Tp. Cà Mau</t>
  </si>
  <si>
    <t>Thị trấn Cái Nước, huyện Cái Nước, Cà Mau</t>
  </si>
  <si>
    <t>9 Đoàn Thế Trung, Thị trấn Long Phú, huyện Long Phú, tỉnh Sóc Trăng</t>
  </si>
  <si>
    <t>BẢNG TỔNG KẾT SERVICES AGRIBANK HĐ 86 THEO CHU KỲ</t>
  </si>
  <si>
    <t>CK6</t>
  </si>
  <si>
    <t>CK7</t>
  </si>
  <si>
    <t>Bản Tân Lập, X. Chiềng Khương, H.Sông Mã, Sơn La</t>
  </si>
  <si>
    <t>Số 79 Lê Thanh Nghị, thị trấn Nông Trường Mộc Châu, huyện Mộc Châu, Sơn La</t>
  </si>
  <si>
    <t>Khối 4 thị trấn Phù Yên, huyện Phù Yên, Sơn La</t>
  </si>
  <si>
    <t>Số 120 đường Trần Hưng Đạo, TP. Hà Giang</t>
  </si>
  <si>
    <t>Số 7, đường Lý Thái Tổ, phường Đông Kinh, TP. Lạng Sơn</t>
  </si>
  <si>
    <t>Số 288 đường Giải Phóng, thị trấn Mường Khương, huyện Mường Khương, Lào Cai</t>
  </si>
  <si>
    <t>Số 70 đường 19-5 thị trấn Phố Lu, huyện Bảo Thắng, Lào Cai</t>
  </si>
  <si>
    <t>Số 96 đường Võ Nguyên Giáp, TT Phố Ràng, H. Bảo Yên, Lào Cai</t>
  </si>
  <si>
    <t>Khu trung tâm điều hành KCN, xã Hoàng Ninh, huyện Việt Yên, Bắc Giang</t>
  </si>
  <si>
    <t>PGD Hương Xạ, xã hương Xạ, huyện Hạ Hoà, tỉnh Phú Thọ</t>
  </si>
  <si>
    <t>Số 751 đường Cù Chính Lan, phường Phương Lâm, TP. Hòa Bình</t>
  </si>
  <si>
    <t>Trung tâm Kinh doanh VNPT, tổ 32, P. Tân Quang, TP. Tuyên Quang</t>
  </si>
  <si>
    <t>Số 64 đường Chiến Thắng Sông Lô, P. Tân Quang, TP. Tuyên Quang</t>
  </si>
  <si>
    <t>Tổ 4, TT. Trại Cau, H. Đồng Hỷ,   Thái Nguyên</t>
  </si>
  <si>
    <t>Thị trấn Đình Cả, Võ Nhai, huyện Võ Nhai, Thái Nguyên</t>
  </si>
  <si>
    <t>Số 279 đường Thống Nhất, TP. Thái Nguyên</t>
  </si>
  <si>
    <t>Số 43 đường Đinh Tiên Hoàng, TP. Yên Bái</t>
  </si>
  <si>
    <t>Hội sở chi nhánh, số 86 Duy Tân, phường Dịch Vọng Hậu, quận Cầu Giấy, Hà Nội</t>
  </si>
  <si>
    <t>Đại Từ Hoàng Mai Hà Nội</t>
  </si>
  <si>
    <t>Số 34 Tô Hiệu, phường Nguyễn Trãi, quận Hà Đông</t>
  </si>
  <si>
    <t>Đại học Thương Mại, đường Hồ Tùng Mậu, Mai Dịch, quận Cầu Giấy</t>
  </si>
  <si>
    <t>Số 06 khu Yên Sơn, thị trấn Chúc Sơn, huyện Chương Mỹ</t>
  </si>
  <si>
    <t>Thôn Hòa Lạc, xã Bình Yên, huyện Thạch Thất</t>
  </si>
  <si>
    <t>Trụ sở UBND xã Hương Sơn (ngã tư Đục Khê, Hương Sơn, Mỹ Đức, Hà Nội)</t>
  </si>
  <si>
    <t>Thôn Thiết Bình, xã Vân Hà, Huyện Đông Anh</t>
  </si>
  <si>
    <t>Sân bay quốc tế Nội Bài, H. Sóc Sơn</t>
  </si>
  <si>
    <t>PGD KCN An Dương, Hải Phòng</t>
  </si>
  <si>
    <t>Số 199 Tô Hiệu, phường Hồ Nam, Quận Lê Chân</t>
  </si>
  <si>
    <t>Agribank huyện Thanh Miện, số 163 Nguyễn Lương Bằng, thị trấn Thanh Miện, huyện Thanh Miện, Hải Dương</t>
  </si>
  <si>
    <t>Thôn Du La, xã Cẩm Chế, huyện Thanh Hà, Hải Dương</t>
  </si>
  <si>
    <t>Số 287 Đường Trần Hưng Đạo, Phố Kinh Hạ, thị Trấn Kinh Môn, huyện Kinh Môn, Hải Dương</t>
  </si>
  <si>
    <t>Trụ sở PGD Chợ Thi, thôn Gạo Nam, xã Hồ Tùng Mậu, huyện Ân Thi, Hưng Yên</t>
  </si>
  <si>
    <t>Thị trấn Như Quỳnh (tòa nhà 5 tầng), huyện Văn Lâm, Hưng Yên</t>
  </si>
  <si>
    <t>Trụ sở Agribank CN huyện Yên Mỹ, thôn Thư Thị, xã Tân Lập, Huyện Yên Mỹ</t>
  </si>
  <si>
    <t>Siêu thị DABACO, đường Lý Thái Tổ, TP. Bắc Ninh</t>
  </si>
  <si>
    <t>Đường Trung Tâm, TT. Gia Bình, huyện Gia Bình, Bắc Ninh</t>
  </si>
  <si>
    <t>TT. Hồ, huyện Thuận Thành, Bắc Ninh</t>
  </si>
  <si>
    <t>Số 28 đường Minh Khai, phường Đông Ngàn, thị xã Từ Sơn, Bắc Ninh</t>
  </si>
  <si>
    <t>PGD Vân Hội, xã Vân Hội, huyện Tam Dương, Vĩnh Phúc</t>
  </si>
  <si>
    <t>NHNN Yên Lạc, TT Yên Lạc, H. Yên Lạc, T. Vĩnh Phúc</t>
  </si>
  <si>
    <t>Số 18 đường Nguyễn Văn Linh, Xuân Hòa, TX. Phúc Yên, Vĩnh Phúc</t>
  </si>
  <si>
    <t>Agribank huyện Lý Nhân</t>
  </si>
  <si>
    <t>Số 12, xã Nhật Tân, H. Kim Bảng,   Hà Nam</t>
  </si>
  <si>
    <t>Đường 21, thị trấn Cổ Lễ, huyện Trực Ninh, Nam Định</t>
  </si>
  <si>
    <t>Khu 4, thị trấn Yên Định, huyện Hải Hậu, Nam Định</t>
  </si>
  <si>
    <t>Thôn Hồng Thượng, xã Nam Hồng, huyện Nam Trực</t>
  </si>
  <si>
    <t>Số 195 Đường Văn Cao, Phường Trần Quang Khải, TP. Nam Định</t>
  </si>
  <si>
    <t>Phố Lạc Phong, thị trấn Nho Quan, huyện Nho Quan, Ninh Bình</t>
  </si>
  <si>
    <t>Phố 1B thị trấn Yên Ninh, huyện Yên Khánh, Ninh Bình</t>
  </si>
  <si>
    <t>Phố Trung Yên, thị trấn Yên Thịnh, huyện Yên Mô, Ninh Bình</t>
  </si>
  <si>
    <t>K85+500 QL 10, xã Tân Bình, TP. Thái Bình</t>
  </si>
  <si>
    <t>Khu Quang Trung, thị trấn Thanh Nê, huyện Kiến Xương, Thái Bình</t>
  </si>
  <si>
    <t>Tổ 13 Thị trấn An Bài, huyện Quỳnh Phụ, Thái Bình</t>
  </si>
  <si>
    <t>Khu 5 thị trấn Kim Tân, Thạch Thành, huyện Thạch Thành,        Thanh Hóa</t>
  </si>
  <si>
    <t>Phố Kiểu, xã Yên Trường, huyện Yên Định, Thanh Hóa</t>
  </si>
  <si>
    <t>Tổ 2 thị trấn Cẩm Thủy, huyện Cẩm Thủy, Thanh Hóa</t>
  </si>
  <si>
    <t>Số 02 Mẹ Suốt, phường Hải Đình, TP. Đồng Hới</t>
  </si>
  <si>
    <t>Thôn Thuận Trạch, xã Mỹ Thủy, huyện Lệ Thủy, Quảng Bình</t>
  </si>
  <si>
    <t>Thôn Dinh Mười, xã Gia Ninh, huyện Quảng Ninh, Quảng Bình</t>
  </si>
  <si>
    <t>BẢNG TỔNG KẾT SERVICES AGRIBANK KÝ LẺ 200ATM CINEO 2070 THEO CHU KỲ</t>
  </si>
  <si>
    <t>CK1</t>
  </si>
  <si>
    <t>CK2</t>
  </si>
  <si>
    <t>5310182871</t>
  </si>
  <si>
    <t>Số 821, đường Điện Biên, Khu 2 TT Than Uyên, tỉnh Lai Châu</t>
  </si>
  <si>
    <t>5310182944</t>
  </si>
  <si>
    <t>Khu 2 TT Mường Tè, huyện Mường Tè, tỉnh Lai Châu</t>
  </si>
  <si>
    <t>5310181552</t>
  </si>
  <si>
    <t>Số 351 Đường Lê Duẩn, Tổ 2 Phường Chiềng Sinh, TP Sơn La, tỉnh Sơn La</t>
  </si>
  <si>
    <t>5310183229</t>
  </si>
  <si>
    <t>Đường Nguyễn Lương Bằng, Tiểu khu 14 Thị trấn Mộc Châu, huyện Mộc Châu, tỉnh Sơn La</t>
  </si>
  <si>
    <t>5310182525</t>
  </si>
  <si>
    <t>Tiểu khu 6, TT Hát Lót, huyện Mai Sơn, tỉnh Sơn La</t>
  </si>
  <si>
    <t>5310180661</t>
  </si>
  <si>
    <t>Số 156, đường Tây Bắc, Tiểu khu 8 TT Thuận Châu, huyện Thuận Châu, tỉnh Sơn La</t>
  </si>
  <si>
    <t>5310180832</t>
  </si>
  <si>
    <t>Tổ 8, Thị trấn Sông Mã, Huyện Sông Mã, Tỉnh Sơn La</t>
  </si>
  <si>
    <t>5310180806</t>
  </si>
  <si>
    <t>Phố Gia Phù, xã Gia Phù, Huyện Phù Yên, tỉnh Sơn La</t>
  </si>
  <si>
    <t>5310180720</t>
  </si>
  <si>
    <t>Cổng Kho bạc NN tỉnh Hà Giang số 388A-Đường Nguyễn Trãi-tổ 9-P.Nguyễn Trãi-TP Hà Giang</t>
  </si>
  <si>
    <t>5310182867</t>
  </si>
  <si>
    <t>PGD Bắc Vị Xuyên số 43A-Đường Nguyễn Trãi-P.Nguyễn Trãi-TP Hà Giang</t>
  </si>
  <si>
    <t>5310183241</t>
  </si>
  <si>
    <t>Tổ 3-Thị trấn Yên Minh-tỉnh Hà Giang</t>
  </si>
  <si>
    <t>5310181317</t>
  </si>
  <si>
    <t>Agribank TP Cao Bằng, Tỉnh Cao Bằng</t>
  </si>
  <si>
    <t>5310182970</t>
  </si>
  <si>
    <t>5310181560</t>
  </si>
  <si>
    <t>Phố mới, TT Quảng Uyên, huyện Quảng Uyên, tỉnh Cao Bằng</t>
  </si>
  <si>
    <t>5310180860</t>
  </si>
  <si>
    <t>TT Hòa Thuận, huyện Quảng Hòa, tỉnh Cao Bằng</t>
  </si>
  <si>
    <t>5310181429</t>
  </si>
  <si>
    <t>Số 163 đường Trần Đăng Ninh, TP Lạng Sơn</t>
  </si>
  <si>
    <t>5310181647</t>
  </si>
  <si>
    <t>Ủy ban Nhân dân TP Bắc Cạn, Tỉnh Bắc Kạn</t>
  </si>
  <si>
    <t>5310182442</t>
  </si>
  <si>
    <t>Trụ sở Agribank Ba Bể, TT Chợ Rã huyện Ba Bể, tỉnh bắc Kạn</t>
  </si>
  <si>
    <t>5310181451</t>
  </si>
  <si>
    <t>Xã Yên Đĩnh, huyện Chợ Mới, tỉnh Bắc Kạn</t>
  </si>
  <si>
    <t>5310181524</t>
  </si>
  <si>
    <t>Số 003A đường Hoàng Liên, P.Cốc Lếu, TP Lào Cai</t>
  </si>
  <si>
    <t>5310183225</t>
  </si>
  <si>
    <t>Số 270 đường Hoàng Liên P.Kim Tân, TP.Lào Cai (Trụ sở: CA TP Lào Cai)</t>
  </si>
  <si>
    <t>5310180553</t>
  </si>
  <si>
    <t>Thôn Nậm Sắt 2, TT Bắc Hà, huyện Bắc Hà, Lào Cai</t>
  </si>
  <si>
    <t>5310181265</t>
  </si>
  <si>
    <t>Thôn Bắc Ngầm, xã Xuân Quang, huyện Bảo Thắng,  Lào Cai</t>
  </si>
  <si>
    <t>5310180996</t>
  </si>
  <si>
    <t>5 Nguyễn Huệ, P. Lào Cai, Tp Lào Cai</t>
  </si>
  <si>
    <t>5310182407</t>
  </si>
  <si>
    <t>Thôn Trung tâm, xã Bản Lầu, H Mường Khương, Lào Cai</t>
  </si>
  <si>
    <t>5310183139</t>
  </si>
  <si>
    <t>Km 0, xã Bản Vược, H Bát Xát, Lào Cai</t>
  </si>
  <si>
    <t>5310181092</t>
  </si>
  <si>
    <t>Tổ 6, phường Na Lay, TX Mường Lay, tỉnh Điện Biên</t>
  </si>
  <si>
    <t>5310181481</t>
  </si>
  <si>
    <t>Khối 3, TT Mường Chà, huyện Mường Chà, tỉnh Điện Biên</t>
  </si>
  <si>
    <t>5310181077</t>
  </si>
  <si>
    <t>Tổ 5, TT Điện Biên Đông, huyện Điện Biên Đông, tỉnh Điện Biên</t>
  </si>
  <si>
    <t>5310181493</t>
  </si>
  <si>
    <t>Trung tâm TM (siêu thị Big C) xã Tân Tiến, tp Bắc Giang</t>
  </si>
  <si>
    <t>5310181226</t>
  </si>
  <si>
    <t>PGD Ngọc Thiện, xã Song Khê, tp Bắc Giang</t>
  </si>
  <si>
    <t>5310181673</t>
  </si>
  <si>
    <t>PGD Tự Lạn, xã Tự Lạn, huyện Việt Yên</t>
  </si>
  <si>
    <t>5310182628</t>
  </si>
  <si>
    <t>PGD Bách Nhẫn, xã Hùng Sơn, huyện Hiệp Hòa</t>
  </si>
  <si>
    <t>5310181415</t>
  </si>
  <si>
    <t>Trụ sở Agribank TT Cao Thượng, huyện Tân Yên</t>
  </si>
  <si>
    <t>5310181383</t>
  </si>
  <si>
    <t>PGD Ngọc Thiện, TT Cao Thượng, huyện Tân Yên</t>
  </si>
  <si>
    <t>5310182998</t>
  </si>
  <si>
    <t>Bản Mỏ Trạng, xã Tam Tiến, huyện Yên Thế, tỉnh Bắc Giang</t>
  </si>
  <si>
    <t>5310180737</t>
  </si>
  <si>
    <t>Hoàng Hoa Thám, TT Cầu Gồ, Yên Thế, Bắc Giang</t>
  </si>
  <si>
    <t>5310182676</t>
  </si>
  <si>
    <t>Số 45 Ngô Gia Tự, P Trần Phú, TP Bắc Giang</t>
  </si>
  <si>
    <t>5310181123</t>
  </si>
  <si>
    <t>TT Thanh Sơn, Sơn Động, Bắc Giang</t>
  </si>
  <si>
    <t>5310182550</t>
  </si>
  <si>
    <t>Khu 5B, Tân Phú, Tân Sơn, Phú Thọ</t>
  </si>
  <si>
    <t>5310181004</t>
  </si>
  <si>
    <t>Km2, đường 315, phường Trường Thịnh, TX Phú Thọ, tỉnh Phú Thọ</t>
  </si>
  <si>
    <t>5310181014</t>
  </si>
  <si>
    <t>Khu trung tâm trại giam Tân Lập, Khu 9, xã vô Trang, huyện Hạ Hòa, tỉnh Phú Thọ</t>
  </si>
  <si>
    <t>5310182648</t>
  </si>
  <si>
    <t>Thôn Quán Trắng, xã Thành Lập, H.Lương Sơn, T.Hòa Bình.</t>
  </si>
  <si>
    <t>5310181592</t>
  </si>
  <si>
    <t>Phố Độc Lập, thị trấn Vụ Bản, huyện Lạc Sơn, tỉnh Hòa Bình.</t>
  </si>
  <si>
    <t>5310181516</t>
  </si>
  <si>
    <t>Khu 1, thị trấn Kỳ Sơn, huyện Kỳ Sơn, tỉnh Hòa Bình.</t>
  </si>
  <si>
    <t>5310180878</t>
  </si>
  <si>
    <t>Khu 8, thị trấn Hàng Trạm, huyện Yên Thủy, tỉnh Hòa Bình.</t>
  </si>
  <si>
    <t>5310181532</t>
  </si>
  <si>
    <t>UBND xã Dũng Phong, xã Dũng Phong, huyện Cao Phong, tỉnh Hòa Bình.</t>
  </si>
  <si>
    <t>5310181936</t>
  </si>
  <si>
    <t>SN 37, phố Lê Lợi, phường Quảng Yên, TX Quảng Yên, tỉnh Quảng Ninh</t>
  </si>
  <si>
    <t>5310183246</t>
  </si>
  <si>
    <t>KCN Việt Hưng, P Việt Hưng, TP Hạ Long, T Quảng Ninh</t>
  </si>
  <si>
    <t>5310182150</t>
  </si>
  <si>
    <t>Số 347B, đường Trần Phú, phường Cẩm Thành, TP Cẩm Phả, tỉnh Quảng Ninh</t>
  </si>
  <si>
    <t>5310180718</t>
  </si>
  <si>
    <t>Máy 01: số 20C, đường Bà Triệu, phường Cẩm Đông, TP Cẩm Phả, tỉnh Quảng Ninh</t>
  </si>
  <si>
    <t>5310181033</t>
  </si>
  <si>
    <t>máy 02: Số 135, tổ 7, khu 6, P Quanh Hanh, TP Cẩm Phả, tỉnh Quảng Ninh</t>
  </si>
  <si>
    <t>5310181256</t>
  </si>
  <si>
    <t>PGD Thủy An, TX Đông Triều, tỉnh Quảng Ninh</t>
  </si>
  <si>
    <t>5310182365</t>
  </si>
  <si>
    <t>TT Y tế TX Đông Triều, Phường Hưng Đạo, TX Đông Triều, tỉnh Quảng Ninh</t>
  </si>
  <si>
    <t>5310181204</t>
  </si>
  <si>
    <t>Đường Tuệ Tĩnh, Phường Hạ Long, Móng Cái, Quảng Ninh</t>
  </si>
  <si>
    <t>5310181655</t>
  </si>
  <si>
    <t>Khu Tràng Lộ - P Trà Cổ Móng Cái - Quảng Ninh</t>
  </si>
  <si>
    <t>5310181332</t>
  </si>
  <si>
    <t>Phố Lê Lương - TT Đầm Hà Quảng Ninh</t>
  </si>
  <si>
    <t>5310182322</t>
  </si>
  <si>
    <t>Số 112 Nguyễn Văn Cừ, Minh Xuân, Tuyên Quang</t>
  </si>
  <si>
    <t>5310180779</t>
  </si>
  <si>
    <t>Tổ Đăng Châu, TT Sơn Dương, Tuyên Quang</t>
  </si>
  <si>
    <t>5310180711</t>
  </si>
  <si>
    <t>Xã Thái Hòa, huyện Hàm Yên, Tuyên Quang</t>
  </si>
  <si>
    <t>5310183238</t>
  </si>
  <si>
    <t>Thôn 3, Tiên Yên, xã Tân Thành, huyện Hàm Yên</t>
  </si>
  <si>
    <t>5310183235</t>
  </si>
  <si>
    <t>Xã Thượng Lâm, huyện Lâm Bình</t>
  </si>
  <si>
    <t>5310181747</t>
  </si>
  <si>
    <t>Số 279 đường Thống Nhất, phường Gia Sàng, TP.Thái Nguyên</t>
  </si>
  <si>
    <t>5310181101</t>
  </si>
  <si>
    <t>Xã Trung Hội, huyện Định Hóa, tỉnh Thái Nguyên</t>
  </si>
  <si>
    <t>5310183244</t>
  </si>
  <si>
    <t>Xóm Phố, xã La Hiên, huyện Võ Nhai, tỉnh Thái Nguyên</t>
  </si>
  <si>
    <t>5310183240</t>
  </si>
  <si>
    <t>Xóm Gió, xã Ký Phú, huyện Đại Từ, tỉnh Thái Nguyên</t>
  </si>
  <si>
    <t>5310181366</t>
  </si>
  <si>
    <t>Số 138, Hoàng Văn Thụ, TPTN</t>
  </si>
  <si>
    <t>5310181464</t>
  </si>
  <si>
    <t>Số 10, đường CMT8, phường Phan Đình Phùng, TP Thái Nguyên</t>
  </si>
  <si>
    <t>5310182357</t>
  </si>
  <si>
    <t>Số 1, đường Lương Ngọc Quyến, tổ 3, Phường Hoàng Văn Thụ, TPTN</t>
  </si>
  <si>
    <t>5310183243</t>
  </si>
  <si>
    <t>Tổ 19, đường Quang Trung, phường Thịnh Đán, TP Thái Nguyên</t>
  </si>
  <si>
    <t>5310181577</t>
  </si>
  <si>
    <t>Xóm Thuần Pháp, xã Điềm Thụy, huyện Phú Bình, tỉnh Thái Nguyên</t>
  </si>
  <si>
    <t>5310181067</t>
  </si>
  <si>
    <t>Số 289, đường Trường Chính, phường Ba Hàng, thị xã Phổ Yên, tỉnh Thái Nguyên</t>
  </si>
  <si>
    <t>5310183028</t>
  </si>
  <si>
    <t>Số 43 đường Đinh Tiên Hoàng, phường Đồng Tâm, TP Yên Bái</t>
  </si>
  <si>
    <t>5310182902</t>
  </si>
  <si>
    <t>5310182682</t>
  </si>
  <si>
    <t>Tổ 9, TT Nông Trường Trần Phú, huyện Văn Chấn, Yên Bái</t>
  </si>
  <si>
    <t>5310182509</t>
  </si>
  <si>
    <t>số 133, đường Nguyễn Thái Học, TP Yên Bái, tỉnh Yên Bái</t>
  </si>
  <si>
    <t>5310181029</t>
  </si>
  <si>
    <t>5310182501</t>
  </si>
  <si>
    <t>Tổ dân phố 8, TT Mậu A, huyện Văn Yên, tỉnh Yên Bái</t>
  </si>
  <si>
    <t>5310180785</t>
  </si>
  <si>
    <t>Tổ dân phố 6, TT Yên Thế, huyện Lục Yên, tỉnh Yên Bái</t>
  </si>
  <si>
    <t>5310182530</t>
  </si>
  <si>
    <t>186 Khâm Thiên, Đống Đa, HN</t>
  </si>
  <si>
    <t>5310181268</t>
  </si>
  <si>
    <t>Số 212 Định Công Thượng, Quận Hoàng Mai, Hà Nội</t>
  </si>
  <si>
    <t>5310182609</t>
  </si>
  <si>
    <t>24 Láng Hạ, Đống Đa, TP.Hà Nội</t>
  </si>
  <si>
    <t>5310180574</t>
  </si>
  <si>
    <t>Ki ốt số 4, 6, 6B CT12 Kim Văn, Kim Lũ, Đại Kim, Hoàng Mai HN</t>
  </si>
  <si>
    <t>5310182424</t>
  </si>
  <si>
    <t>A009 The Manor, Mễ Trì, Nam Từ Liêm, Hà Nội</t>
  </si>
  <si>
    <t>5310180929</t>
  </si>
  <si>
    <t>27 Nguyễn Thái Học, TT Phùng, huyện Đan Phượng, TP Hà Nội</t>
  </si>
  <si>
    <t>5310181643</t>
  </si>
  <si>
    <t>61 Hàng Ngang, Hoàn Kiếm, Hà Nội</t>
  </si>
  <si>
    <t>5310182728</t>
  </si>
  <si>
    <t>30 Lê Đại Hành, HBT, HN</t>
  </si>
  <si>
    <t>5310180698</t>
  </si>
  <si>
    <t>Thị trấn Phú Minh, huyện Phú Xuyên, Hà Nội</t>
  </si>
  <si>
    <t>5310181485</t>
  </si>
  <si>
    <t>A2 Chung cư La Khê, Q. Hà Đông, TP. Hà Nội</t>
  </si>
  <si>
    <t>5310183233</t>
  </si>
  <si>
    <t>Tế Tiêu, TT Đại Nghĩa, H.Mỹ Đức, TP Hà Nội</t>
  </si>
  <si>
    <t>5310181058</t>
  </si>
  <si>
    <t>PGD Vạn Thắng, Thôn Chợ Mơ, xã Vạn Thắng, Ba Vì, Hà Nội</t>
  </si>
  <si>
    <t>5310181181</t>
  </si>
  <si>
    <t>Thôn 1, Thạch Đà, Mê Linh, Hà Nội</t>
  </si>
  <si>
    <t>5310181109</t>
  </si>
  <si>
    <t>Đường Ngô Xuân Quảng, TT Trâu Quỳ, Gia Lâm, Hà Nội</t>
  </si>
  <si>
    <t>5310182457</t>
  </si>
  <si>
    <t>Cổng chính A - Phòng ATM số 01 - KCN Thăng Long, huyện Đông Anh, TP Hà Nội</t>
  </si>
  <si>
    <t>5310181601</t>
  </si>
  <si>
    <t>Cổng số 2 - Phòng ATM số 07 - KCN Thăng Long - huyện Đông Anh - tp Hà Nội</t>
  </si>
  <si>
    <t>5310182486</t>
  </si>
  <si>
    <t>UBND xã Bắc Sơn</t>
  </si>
  <si>
    <t>5310181146</t>
  </si>
  <si>
    <t>UBND xã Bắc Phú</t>
  </si>
  <si>
    <t>5310181535</t>
  </si>
  <si>
    <t>Số 301 Phố Nam Dư, phường Lĩnh Nam, Hoàng Mai, Hà Nội</t>
  </si>
  <si>
    <t>5310182349</t>
  </si>
  <si>
    <t>Số 76 Trần Phú, phường Lương Khánh Thiện, quận Ngô Quyền, Hải Phòng</t>
  </si>
  <si>
    <t>5310181629</t>
  </si>
  <si>
    <t>Số 4 khu Cẩm Xuân, TT Núi Đối, huyện Kiến Thụy - Hải Phòng</t>
  </si>
  <si>
    <t>5310181356</t>
  </si>
  <si>
    <t>Thôn Đại Lộc, xã Đại Hợp, huyện Kiến Thụy, Hải Phòng</t>
  </si>
  <si>
    <t>5310180972</t>
  </si>
  <si>
    <t>Số 04 đường Hà Nội, phường Thượng Lý, Q. Hồng Bàng, TP.Hải Phòng</t>
  </si>
  <si>
    <t>5310180683</t>
  </si>
  <si>
    <t>Số 09 đường Đà Nẵng, TT Núi Đèo, H.Thủy Nguyên, TP.Hải Phòng</t>
  </si>
  <si>
    <t>5310181350</t>
  </si>
  <si>
    <t>Số 11 đường 351, TT An Dương, H.An Dương, TP.Hải Phòng</t>
  </si>
  <si>
    <t>5310181409</t>
  </si>
  <si>
    <t>Số 95 Trần Thành Ngọ, quận Kiến An, TP Hải Phòng</t>
  </si>
  <si>
    <t>5310180842</t>
  </si>
  <si>
    <t>Số 16 Phạm Hồng Thái, phường Quang Trung, TP Hải Dương</t>
  </si>
  <si>
    <t>5310180980</t>
  </si>
  <si>
    <t>109-111 Đường Thanh Niên, TP Hải Dương</t>
  </si>
  <si>
    <t>5310182448</t>
  </si>
  <si>
    <t>Đường Khúc Thừa Dụ, TT Ninh Giang, huyện Ninh Giang</t>
  </si>
  <si>
    <t>5310180949</t>
  </si>
  <si>
    <t>Khu Thống Nhất, TT Lai Cách, huyện Cầm Giàng</t>
  </si>
  <si>
    <t>5310182468</t>
  </si>
  <si>
    <t>Khu 1 TT Thanh Hà, huyện Thanh Hà</t>
  </si>
  <si>
    <t>5310182954</t>
  </si>
  <si>
    <t>100 Phạm Ngũ Lão, TT Kẻ Sặt, huyện Bình Giang</t>
  </si>
  <si>
    <t>5310180790</t>
  </si>
  <si>
    <t>PGD Cầu Xe, thôn Hàm Hy, xã Cộng Lạc, huyện Tứ Kỳ</t>
  </si>
  <si>
    <t>5310182393</t>
  </si>
  <si>
    <t>Thị tứ Thanh Quang, xã Thanh Quang, huyện Nam Sách, tỉnh Hải Dương</t>
  </si>
  <si>
    <t>5310181566</t>
  </si>
  <si>
    <t>57 Trần Hưng Đạo, tt Phú Thái, huyện Kim Thành, tỉnh Hải Dương</t>
  </si>
  <si>
    <t>5310182702</t>
  </si>
  <si>
    <t>Số 304 Nguyễn Văn Linh, P.Hiến Nam, TP Hưng Yên, tỉnh Hưng Yên</t>
  </si>
  <si>
    <t>5310180677</t>
  </si>
  <si>
    <t>Số 192 Nguyễn Lương Bằng, TT Lương Bằng, huyện Kim Động, tỉnh Hưng Yên</t>
  </si>
  <si>
    <t>5310182568</t>
  </si>
  <si>
    <t>Xóm 23 xã Đông Kết, huyện Khoái Châu, tỉnh Hưng Yên</t>
  </si>
  <si>
    <t>5310182799</t>
  </si>
  <si>
    <t>Số 619, đường Nguyễn Văn Linh, phường Bần Yên Nhân, thị xã Mỹ Hào, tỉnh Hưng Yên</t>
  </si>
  <si>
    <t>5310182864</t>
  </si>
  <si>
    <t>5310182886</t>
  </si>
  <si>
    <t>Quỹ tín dụng Nhân dân xã Trưng Trắc, xã Trưng Trắc, huyện Văn Lâm, tỉnh Hưng Yên</t>
  </si>
  <si>
    <t>5310183305</t>
  </si>
  <si>
    <t>TT Chờ, Yên Phong, Bắc Ninh</t>
  </si>
  <si>
    <t>5310181595</t>
  </si>
  <si>
    <t>5310181086</t>
  </si>
  <si>
    <t>97 Tân Dân, Lương Tài, Bắc Ninh</t>
  </si>
  <si>
    <t>5310181613</t>
  </si>
  <si>
    <t>phường Đình Bảng, thị xã Từ Sơn, tỉnh Bắc Ninh</t>
  </si>
  <si>
    <t>5310180639</t>
  </si>
  <si>
    <t>5310181675</t>
  </si>
  <si>
    <t>17 Lý Thường Kiệt, TT Lim, huyện Tiên Du, tỉnh Bắc Ninh</t>
  </si>
  <si>
    <t>5310181379</t>
  </si>
  <si>
    <t>PGD Chấn Hưng, TT Vĩnh Tường, huyện Vĩnh Tường, tỉnh Vĩnh Phúc</t>
  </si>
  <si>
    <t>5310181044</t>
  </si>
  <si>
    <t>Agribank Lập Thạch, Xã Hợp Lý, huyện Lập Thạch, tỉnh Vĩnh Phúc</t>
  </si>
  <si>
    <t>5310181241</t>
  </si>
  <si>
    <t>Đường Kim Ngọc, Phường Liên Bảo, TP Vĩnh Yên</t>
  </si>
  <si>
    <t>5310182429</t>
  </si>
  <si>
    <t>5310180883</t>
  </si>
  <si>
    <t>Agribank Huyện Tam Dương, TT Hợp Hòa,  huyện Tam Dương, Vĩnh Phúc</t>
  </si>
  <si>
    <t>5310181373</t>
  </si>
  <si>
    <t>Khu phố 1, TT Hương Canh, Bình Xuyên, Vĩnh Phúc</t>
  </si>
  <si>
    <t>5310183231</t>
  </si>
  <si>
    <t>Thị trấn Yên Lạc, Huyện Yên Lạc, Tỉnh Vĩnh Phúc</t>
  </si>
  <si>
    <t>5310182690</t>
  </si>
  <si>
    <t>Xã Tân Sơn, huyện Kim Bảng, tỉnh Hà Nam</t>
  </si>
  <si>
    <t>5310182599</t>
  </si>
  <si>
    <t>Chợ Chanh, Lý Nhân, Hà Nam</t>
  </si>
  <si>
    <t>5310181660</t>
  </si>
  <si>
    <t>đường Lê Chân, P.Lê Hồng Phong, TP Phủ Lý, tỉnh hà Nam</t>
  </si>
  <si>
    <t>5310182416</t>
  </si>
  <si>
    <t>5310181446</t>
  </si>
  <si>
    <t>97 đường Nguyễn Văn Trỗi, P.Lương Khánh Thiện, TP.Phủ Lý, tỉnh Hà Nam</t>
  </si>
  <si>
    <t>5310180591</t>
  </si>
  <si>
    <t>5310182646</t>
  </si>
  <si>
    <t>Phố Cà, xã Thanh Nguyên, huyện Thanh Liêm, tỉnh hà Nam</t>
  </si>
  <si>
    <t>5310180626</t>
  </si>
  <si>
    <t>Ngã tư Đồng Đội, Minh Tân, H.Vụ Bản, Nam Định</t>
  </si>
  <si>
    <t>5310180800</t>
  </si>
  <si>
    <t>Khu 4B, TT Cồn, huyện Hải Hậu, Nam Định</t>
  </si>
  <si>
    <t>5310181189</t>
  </si>
  <si>
    <t>Xóm 3, thôn Thượng Đông, xã Nam Tiến, huyện Nam Trực, Nam Định</t>
  </si>
  <si>
    <t>5310181223</t>
  </si>
  <si>
    <t>PGD Mỹ Thắng, xã Mỹ Thắng, H Mỹ Lộc, Bắc Nam Định</t>
  </si>
  <si>
    <t>5310181173</t>
  </si>
  <si>
    <t>PGD Chợ Lơi, Vụ Bản, Bắc Nam Định</t>
  </si>
  <si>
    <t>5310181876</t>
  </si>
  <si>
    <t>PGD Yên Ninh, Ý Yên, Bắc Nam Định</t>
  </si>
  <si>
    <t>5310183239</t>
  </si>
  <si>
    <t>KCN Yên Dương, Ý Yên, Bắc Nam Định</t>
  </si>
  <si>
    <t>5310181300</t>
  </si>
  <si>
    <t>Đường Trần Hưng Đạo, P.Tân Thành, TP Ninh Bình</t>
  </si>
  <si>
    <t>5310181342</t>
  </si>
  <si>
    <t>Đường Tuệ Tĩnh, P.Nam Thành, TP Ninh Bình</t>
  </si>
  <si>
    <t>5310180987</t>
  </si>
  <si>
    <t>Xã Phú Lộc, Huyện Nho Quan</t>
  </si>
  <si>
    <t>5310182480</t>
  </si>
  <si>
    <t>Phố An Hòa, P.Nnh Phong, TP.Ninh Bình, tỉnh Ninh Bình</t>
  </si>
  <si>
    <t>5310181590</t>
  </si>
  <si>
    <t>TT Me, huyện Gia Viễn, tỉnh Ninh Bình</t>
  </si>
  <si>
    <t>5310182720</t>
  </si>
  <si>
    <t>29 Lê Đại Hành, P.Thanh Bình, TP.Ninh Bình</t>
  </si>
  <si>
    <t>5310182640</t>
  </si>
  <si>
    <t>Số 150 Phố Lê Lợi, P Đề Thám, TP Thái Bình, T Thái Bình</t>
  </si>
  <si>
    <t>5310180595</t>
  </si>
  <si>
    <t>Khu Minh Tân 1, TT Vũ Thư, H Vũ Thư, Thái Bình</t>
  </si>
  <si>
    <t>5310182590</t>
  </si>
  <si>
    <t>Số 03, Phố Tiểu Hoàng, TT Tiền Hải, Tỉnh Thái Bình</t>
  </si>
  <si>
    <t>5310182754</t>
  </si>
  <si>
    <t>Khu 6, TT Diêm Điền, H Thái Thụy, T Thái Bình</t>
  </si>
  <si>
    <t>5310181652</t>
  </si>
  <si>
    <t>Thôn Văn Hà Tây, xã Thái Hưng, H Thái Thụy, tỉnh Thái Bình</t>
  </si>
  <si>
    <t>5310180577</t>
  </si>
  <si>
    <t>Số 297 Trần Hưng Đạo, TP Thái Bình - Thái Bình</t>
  </si>
  <si>
    <t>5310180706</t>
  </si>
  <si>
    <t>Lắp tại huyện Đông Hưng Thái Bình</t>
  </si>
  <si>
    <t>5310180613</t>
  </si>
  <si>
    <t>Số 155 Trần Hưng Đạo, TT Quỳnh Côi, Quỳnh Phụ, TB</t>
  </si>
  <si>
    <t>5310182385</t>
  </si>
  <si>
    <t>Khu Nhân Cầu 2 TT Hưng Hà, huyện Hưng Hà, Thái Bình</t>
  </si>
  <si>
    <t>5310180904</t>
  </si>
  <si>
    <t>Số 10 Phan Chu Trinh, P Điện Biên, tp Thanh Hóa</t>
  </si>
  <si>
    <t>5310181153</t>
  </si>
  <si>
    <t>Tổ dân phố Tân An, TT Phong Sơn, H Cẩm Thủy, tỉnh Thanh Hóa</t>
  </si>
  <si>
    <t>5310182491</t>
  </si>
  <si>
    <t>Số 148 phố Lê Hoàn, TT Ngọc Lặc, huyện Ngọc Lặc, tỉnh Thanh Hóa</t>
  </si>
  <si>
    <t>5310180603</t>
  </si>
  <si>
    <t>Khu 2, TT Lam Sơn, H Thọ Xuân, tỉnh Thanh Hóa</t>
  </si>
  <si>
    <t>5310181046</t>
  </si>
  <si>
    <t>Phố Sim, xã Hợp Thành, huyện Triệu Sơn, tỉnh Thanh Hóa</t>
  </si>
  <si>
    <t>5310180645</t>
  </si>
  <si>
    <t>5310180766</t>
  </si>
  <si>
    <t>Thôn Thống Nhất - xã Luận Thành, Thường Xuân, Thanh Hóa</t>
  </si>
  <si>
    <t>5310181401</t>
  </si>
  <si>
    <t>Cổng nhà máy Giày Kim Việt, Thị trấn Nông Cống, Nông Cống, Thanh Hóa</t>
  </si>
  <si>
    <t>5310180920</t>
  </si>
  <si>
    <t>Số 37 đường Hồ Xuân Hương, P.Trường Sơn, TT Sầm Sơn, TP Sầm Sơn, tỉnh Thanh Hóa</t>
  </si>
  <si>
    <t>5310182560</t>
  </si>
  <si>
    <t>Khu 3, TT Vĩnh Lộc, huyện Vĩnh Lộc, tỉnh Thanh Hóa</t>
  </si>
  <si>
    <t>5310181193</t>
  </si>
  <si>
    <t>Số 364 đường Nguyễn Văn Cừ, phường Hưng Phúc, TP.Vinh, tỉnh Nghệ An</t>
  </si>
  <si>
    <t>5310180750</t>
  </si>
  <si>
    <t>Khối 2, TT Yên Thành, huyện Yên Thành, tỉnh Nghệ An</t>
  </si>
  <si>
    <t>5310182988</t>
  </si>
  <si>
    <t>Khối Thịnh Mỹ, Phường Quỳnh Thiện, TX Hoàng Mai, Nghệ An</t>
  </si>
  <si>
    <t>5310180916</t>
  </si>
  <si>
    <t>Xóm 11, xã Quang Sơn, huyện Đô Lương, tỉnh Nghệ An</t>
  </si>
  <si>
    <t>5310182742</t>
  </si>
  <si>
    <t>Xóm 11, xã Tràng Sơn, huyện Đô Lương, tỉnh Nghệ An</t>
  </si>
  <si>
    <t>5310182921</t>
  </si>
  <si>
    <t>Khối 7 - TT Hưng Nguyên, huyện Hưng Nguyên, tỉnh Nghệ An</t>
  </si>
  <si>
    <t>5310182376</t>
  </si>
  <si>
    <t>Xóm Mậu 1, xã Kim Liên, huyện Nam Đàn, tỉnh Nghệ An</t>
  </si>
  <si>
    <t>5310182771</t>
  </si>
  <si>
    <t>Khối 10 - TT Thanh Chương, Huyện Thanh Chương, tỉnh Nghệ An</t>
  </si>
  <si>
    <t>5310180670</t>
  </si>
  <si>
    <t>Khối Nam Sơn, TT Kim Sơn, Huyện Quế Phong, Tỉnh Nghệ An</t>
  </si>
  <si>
    <t>5310182781</t>
  </si>
  <si>
    <t>Số 01, đường Phan Đình Phùng, TP Hà Tĩnh</t>
  </si>
  <si>
    <t>5310181235</t>
  </si>
  <si>
    <t>5310182817</t>
  </si>
  <si>
    <t>5310180755</t>
  </si>
  <si>
    <t>Số 42, đường Trần Phú, TX Hồng Lĩnh, Hà Tĩnh</t>
  </si>
  <si>
    <t>5310183234</t>
  </si>
  <si>
    <t>Số 04, đường Tả Ao, Thị trấn Nghi Xuân, Hà Tĩnh</t>
  </si>
  <si>
    <t>5310181617</t>
  </si>
  <si>
    <t>Tổ dân phố 4, Thị trấn Vũ Quang, Hà Tĩnh</t>
  </si>
  <si>
    <t>5310183227</t>
  </si>
  <si>
    <t>PGD Nầm, thôn Bãi Trạm, xã Sơ Châu, huyện Hương Sơn, Hà Tĩnh</t>
  </si>
  <si>
    <t>5310183245</t>
  </si>
  <si>
    <t>Đường Quang Trung, xóm Hồng Hà, xã Thạch Trung, Tp Hà Tĩnh, tỉnh Hà Tĩnh</t>
  </si>
  <si>
    <t>5310183047</t>
  </si>
  <si>
    <t>Số 09 Đường Nguyễn Trung Thiên, TT Hương Khê, tỉnh Hà Tĩnh</t>
  </si>
  <si>
    <t>5310180619</t>
  </si>
  <si>
    <t>PGD Phúc Trạch, xã Hương Trà, huyện Hương Khê, tỉnh Hà Tĩnh</t>
  </si>
  <si>
    <t>5310181805</t>
  </si>
  <si>
    <t>Tổ dân Phố Nhân Hòa, TT Thiên Cầm, huyện Cẩm Xuyên, tỉnh Hà Tĩnh</t>
  </si>
  <si>
    <t>5310181322</t>
  </si>
  <si>
    <t>Đường QL01A, thôn Sơn Thịnh, xã Kỳ Tiến, huyện Kỳ, tỉnh Hà Tĩnh</t>
  </si>
  <si>
    <t>5310182666</t>
  </si>
  <si>
    <t>Bệnh viện Đa khoa Tp Đồng Hới (178 Lê Lợi, Đức Ninh, Đồng Hới)</t>
  </si>
  <si>
    <t>5310181637</t>
  </si>
  <si>
    <t>Hội sở Lệ Thủy (21 Nguyễn Tất Thành, TT Kiến Giang, Lệ Thủy)</t>
  </si>
  <si>
    <t>5310182874</t>
  </si>
  <si>
    <t>377 Hùng Vương - TX Ba Đồn - Quảng Trạch - Quảng Bình</t>
  </si>
  <si>
    <t>5310180894</t>
  </si>
  <si>
    <t>Đội 7, thôn Nại Cửu, huyện Triệu Phong, tỉnh Quảng Trị</t>
  </si>
  <si>
    <t>5310181281</t>
  </si>
  <si>
    <t>Chợ Do, thôn Vĩnh Tân, huyện Vĩnh Linh, tỉnh Quảng Trị</t>
  </si>
  <si>
    <t>5310180692</t>
  </si>
  <si>
    <t>PGD Khu 3- xã Vinh Hưng - huyện Phú Lộc - TT Huế</t>
  </si>
  <si>
    <t>5310183008</t>
  </si>
  <si>
    <t>KS Điện Biên II - 164 Mai Thúc Loan - TP Huế</t>
  </si>
  <si>
    <t xml:space="preserve">Ngày báo cáo </t>
  </si>
  <si>
    <t>Ngày thực hiện</t>
  </si>
  <si>
    <t>Tình trạng báo cáo</t>
  </si>
  <si>
    <t>Cán bộ thực hiện</t>
  </si>
  <si>
    <t>Đại chỉ</t>
  </si>
  <si>
    <t>Sự cố</t>
  </si>
  <si>
    <t>Hướng khắc phục</t>
  </si>
  <si>
    <t>Ghi chú</t>
  </si>
  <si>
    <t>Kết quả</t>
  </si>
  <si>
    <t>Lý do</t>
  </si>
  <si>
    <t>Hướng dẫn qua đt</t>
  </si>
  <si>
    <t>Bảo trì</t>
  </si>
  <si>
    <t>Nội dung khắc phục</t>
  </si>
  <si>
    <t>Linh kiện thay thế</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</si>
</sst>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
    <numFmt numFmtId="166" formatCode="dd/MM/yyyy H:mm:ss"/>
    <numFmt numFmtId="167" formatCode="d-m"/>
  </numFmts>
  <fonts count="15">
    <font>
      <sz val="10.0"/>
      <color rgb="FF000000"/>
      <name val="Arial"/>
    </font>
    <font>
      <b/>
      <sz val="10.0"/>
      <color theme="1"/>
      <name val="Times New Roman"/>
    </font>
    <font>
      <b/>
      <color theme="1"/>
      <name val="Arial"/>
    </font>
    <font/>
    <font>
      <sz val="10.0"/>
      <color theme="1"/>
      <name val="Times New Roman"/>
    </font>
    <font>
      <color theme="1"/>
      <name val="Arial"/>
    </font>
    <font>
      <color theme="1"/>
      <name val="&quot;Times New Roman&quot;"/>
    </font>
    <font>
      <b/>
      <sz val="14.0"/>
      <color theme="1"/>
      <name val="Arial"/>
    </font>
    <font>
      <sz val="11.0"/>
      <color rgb="FF000000"/>
      <name val="Times New Roman"/>
    </font>
    <font>
      <sz val="11.0"/>
      <color rgb="FF000000"/>
      <name val="&quot;Times New Roman&quot;"/>
    </font>
    <font>
      <name val="Arial"/>
    </font>
    <font>
      <sz val="11.0"/>
      <color theme="1"/>
      <name val="Times New Roman"/>
    </font>
    <font>
      <sz val="10.0"/>
      <name val="Times New Roman"/>
    </font>
    <font>
      <sz val="10.0"/>
      <color rgb="FF000000"/>
      <name val="Times New Roman"/>
    </font>
    <font>
      <sz val="11.0"/>
      <color rgb="FF7E3794"/>
      <name val="Arial"/>
    </font>
  </fonts>
  <fills count="4">
    <fill>
      <patternFill patternType="none"/>
    </fill>
    <fill>
      <patternFill patternType="lightGray"/>
    </fill>
    <fill>
      <patternFill patternType="solid">
        <fgColor rgb="FF93C47D"/>
        <bgColor rgb="FF93C47D"/>
      </patternFill>
    </fill>
    <fill>
      <patternFill patternType="solid">
        <fgColor rgb="FF9FC5E8"/>
        <bgColor rgb="FF9FC5E8"/>
      </patternFill>
    </fill>
  </fills>
  <borders count="7">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1" fillId="2" fontId="1" numFmtId="0" xfId="0" applyAlignment="1" applyBorder="1" applyFill="1" applyFont="1">
      <alignment horizontal="center" readingOrder="0" vertical="center"/>
    </xf>
    <xf borderId="1" fillId="2" fontId="2" numFmtId="0" xfId="0" applyAlignment="1" applyBorder="1" applyFont="1">
      <alignment horizontal="center" readingOrder="0" vertical="center"/>
    </xf>
    <xf borderId="1" fillId="2" fontId="2" numFmtId="0" xfId="0" applyAlignment="1" applyBorder="1" applyFont="1">
      <alignment horizontal="center" readingOrder="0" shrinkToFit="0" vertical="center" wrapText="1"/>
    </xf>
    <xf borderId="2" fillId="2" fontId="2" numFmtId="0" xfId="0" applyAlignment="1" applyBorder="1" applyFont="1">
      <alignment horizontal="center" readingOrder="0" vertical="center"/>
    </xf>
    <xf borderId="3" fillId="0" fontId="3" numFmtId="0" xfId="0" applyBorder="1" applyFont="1"/>
    <xf borderId="4" fillId="0" fontId="3" numFmtId="0" xfId="0" applyBorder="1" applyFont="1"/>
    <xf borderId="2" fillId="3" fontId="4" numFmtId="0" xfId="0" applyAlignment="1" applyBorder="1" applyFill="1" applyFont="1">
      <alignment horizontal="left" readingOrder="0"/>
    </xf>
    <xf borderId="5" fillId="3" fontId="5" numFmtId="0" xfId="0" applyBorder="1" applyFont="1"/>
    <xf borderId="5" fillId="3" fontId="5" numFmtId="164" xfId="0" applyAlignment="1" applyBorder="1" applyFont="1" applyNumberFormat="1">
      <alignment horizontal="center" readingOrder="0"/>
    </xf>
    <xf borderId="4" fillId="0" fontId="4" numFmtId="0" xfId="0" applyAlignment="1" applyBorder="1" applyFont="1">
      <alignment horizontal="center" readingOrder="0" vertical="bottom"/>
    </xf>
    <xf borderId="4" fillId="0" fontId="6" numFmtId="0" xfId="0" applyAlignment="1" applyBorder="1" applyFont="1">
      <alignment horizontal="center" readingOrder="0"/>
    </xf>
    <xf borderId="4" fillId="0" fontId="6" numFmtId="0" xfId="0" applyAlignment="1" applyBorder="1" applyFont="1">
      <alignment horizontal="left" readingOrder="0"/>
    </xf>
    <xf borderId="4" fillId="0" fontId="5" numFmtId="0" xfId="0" applyAlignment="1" applyBorder="1" applyFont="1">
      <alignment horizontal="center"/>
    </xf>
    <xf borderId="6" fillId="0" fontId="4" numFmtId="0" xfId="0" applyAlignment="1" applyBorder="1" applyFont="1">
      <alignment horizontal="center" readingOrder="0" vertical="bottom"/>
    </xf>
    <xf borderId="6" fillId="0" fontId="6" numFmtId="0" xfId="0" applyAlignment="1" applyBorder="1" applyFont="1">
      <alignment horizontal="center" readingOrder="0"/>
    </xf>
    <xf borderId="6" fillId="0" fontId="6" numFmtId="0" xfId="0" applyAlignment="1" applyBorder="1" applyFont="1">
      <alignment horizontal="left" readingOrder="0"/>
    </xf>
    <xf borderId="0" fillId="0" fontId="5" numFmtId="165" xfId="0" applyAlignment="1" applyFont="1" applyNumberFormat="1">
      <alignment readingOrder="0"/>
    </xf>
    <xf borderId="6" fillId="0" fontId="4" numFmtId="0" xfId="0" applyAlignment="1" applyBorder="1" applyFont="1">
      <alignment horizontal="center" readingOrder="0"/>
    </xf>
    <xf borderId="0" fillId="0" fontId="4" numFmtId="0" xfId="0" applyAlignment="1" applyFont="1">
      <alignment horizontal="center"/>
    </xf>
    <xf borderId="0" fillId="0" fontId="5" numFmtId="0" xfId="0" applyAlignment="1" applyFont="1">
      <alignment horizontal="center"/>
    </xf>
    <xf borderId="0" fillId="0" fontId="7" numFmtId="0" xfId="0" applyAlignment="1" applyFont="1">
      <alignment horizontal="center" readingOrder="0" vertical="center"/>
    </xf>
    <xf borderId="2" fillId="3" fontId="5" numFmtId="0" xfId="0" applyAlignment="1" applyBorder="1" applyFont="1">
      <alignment horizontal="left" readingOrder="0"/>
    </xf>
    <xf borderId="5" fillId="3" fontId="5" numFmtId="0" xfId="0" applyAlignment="1" applyBorder="1" applyFont="1">
      <alignment horizontal="left"/>
    </xf>
    <xf borderId="6" fillId="0" fontId="5" numFmtId="0" xfId="0" applyAlignment="1" applyBorder="1" applyFont="1">
      <alignment horizontal="center" readingOrder="0" vertical="bottom"/>
    </xf>
    <xf borderId="4" fillId="0" fontId="5" numFmtId="0" xfId="0" applyAlignment="1" applyBorder="1" applyFont="1">
      <alignment horizontal="center" readingOrder="0" vertical="bottom"/>
    </xf>
    <xf borderId="4" fillId="0" fontId="5" numFmtId="0" xfId="0" applyAlignment="1" applyBorder="1" applyFont="1">
      <alignment horizontal="left" readingOrder="0" vertical="bottom"/>
    </xf>
    <xf borderId="6" fillId="0" fontId="5" numFmtId="0" xfId="0" applyAlignment="1" applyBorder="1" applyFont="1">
      <alignment horizontal="center" readingOrder="0"/>
    </xf>
    <xf borderId="6" fillId="0" fontId="8" numFmtId="49" xfId="0" applyAlignment="1" applyBorder="1" applyFont="1" applyNumberFormat="1">
      <alignment readingOrder="0" shrinkToFit="0" wrapText="1"/>
    </xf>
    <xf borderId="6" fillId="0" fontId="9" numFmtId="0" xfId="0" applyAlignment="1" applyBorder="1" applyFont="1">
      <alignment readingOrder="0"/>
    </xf>
    <xf borderId="4" fillId="0" fontId="10" numFmtId="0" xfId="0" applyAlignment="1" applyBorder="1" applyFont="1">
      <alignment horizontal="left" readingOrder="0" vertical="bottom"/>
    </xf>
    <xf borderId="0" fillId="0" fontId="5" numFmtId="0" xfId="0" applyAlignment="1" applyFont="1">
      <alignment horizontal="left"/>
    </xf>
    <xf borderId="6" fillId="0" fontId="5" numFmtId="0" xfId="0" applyAlignment="1" applyBorder="1" applyFont="1">
      <alignment horizontal="center" readingOrder="0" vertical="center"/>
    </xf>
    <xf borderId="0" fillId="0" fontId="11" numFmtId="0" xfId="0" applyAlignment="1" applyFont="1">
      <alignment horizontal="center" shrinkToFit="0" vertical="center" wrapText="1"/>
    </xf>
    <xf borderId="6" fillId="0" fontId="11" numFmtId="0" xfId="0" applyAlignment="1" applyBorder="1" applyFont="1">
      <alignment shrinkToFit="0" wrapText="1"/>
    </xf>
    <xf borderId="6" fillId="0" fontId="11" numFmtId="0" xfId="0" applyAlignment="1" applyBorder="1" applyFont="1">
      <alignment horizontal="center" shrinkToFit="0" vertical="center" wrapText="1"/>
    </xf>
    <xf borderId="0" fillId="0" fontId="5" numFmtId="0" xfId="0" applyAlignment="1" applyFont="1">
      <alignment horizontal="center" vertical="center"/>
    </xf>
    <xf borderId="1" fillId="2" fontId="1" numFmtId="0" xfId="0" applyAlignment="1" applyBorder="1" applyFont="1">
      <alignment horizontal="center" readingOrder="0" shrinkToFit="0" vertical="center" wrapText="1"/>
    </xf>
    <xf borderId="0" fillId="0" fontId="4" numFmtId="49" xfId="0" applyAlignment="1" applyFont="1" applyNumberFormat="1">
      <alignment horizontal="center" vertical="bottom"/>
    </xf>
    <xf borderId="6" fillId="0" fontId="4" numFmtId="49" xfId="0" applyAlignment="1" applyBorder="1" applyFont="1" applyNumberFormat="1">
      <alignment shrinkToFit="0" vertical="bottom" wrapText="1"/>
    </xf>
    <xf borderId="6" fillId="0" fontId="4" numFmtId="49" xfId="0" applyAlignment="1" applyBorder="1" applyFont="1" applyNumberFormat="1">
      <alignment horizontal="center" vertical="bottom"/>
    </xf>
    <xf borderId="6" fillId="0" fontId="12" numFmtId="49" xfId="0" applyAlignment="1" applyBorder="1" applyFont="1" applyNumberFormat="1">
      <alignment readingOrder="0" shrinkToFit="0" vertical="bottom" wrapText="1"/>
    </xf>
    <xf borderId="6" fillId="0" fontId="13" numFmtId="49" xfId="0" applyAlignment="1" applyBorder="1" applyFont="1" applyNumberFormat="1">
      <alignment shrinkToFit="0" vertical="bottom" wrapText="1"/>
    </xf>
    <xf borderId="0" fillId="0" fontId="4" numFmtId="0" xfId="0" applyAlignment="1" applyFont="1">
      <alignment horizontal="left" shrinkToFit="0" wrapText="1"/>
    </xf>
    <xf borderId="0" fillId="0" fontId="2" numFmtId="0" xfId="0" applyAlignment="1" applyFont="1">
      <alignment horizontal="center" shrinkToFit="0" vertical="center" wrapText="1"/>
    </xf>
    <xf borderId="0" fillId="0" fontId="5" numFmtId="0" xfId="0" applyAlignment="1" applyFont="1">
      <alignment shrinkToFit="0" vertical="center" wrapText="1"/>
    </xf>
    <xf borderId="6" fillId="2" fontId="2" numFmtId="0" xfId="0" applyAlignment="1" applyBorder="1" applyFont="1">
      <alignment horizontal="center" shrinkToFit="0" vertical="center" wrapText="1"/>
    </xf>
    <xf borderId="5" fillId="2" fontId="2" numFmtId="0" xfId="0" applyAlignment="1" applyBorder="1" applyFont="1">
      <alignment horizontal="center" shrinkToFit="0" vertical="center" wrapText="1"/>
    </xf>
    <xf borderId="2" fillId="2" fontId="2" numFmtId="0" xfId="0" applyAlignment="1" applyBorder="1" applyFont="1">
      <alignment horizontal="center" shrinkToFit="0" vertical="center" wrapText="1"/>
    </xf>
    <xf borderId="5" fillId="2" fontId="2" numFmtId="0" xfId="0" applyAlignment="1" applyBorder="1" applyFont="1">
      <alignment horizontal="center" shrinkToFit="0" vertical="center" wrapText="0"/>
    </xf>
    <xf borderId="3" fillId="2" fontId="2"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5" fillId="0" fontId="3" numFmtId="0" xfId="0" applyBorder="1" applyFont="1"/>
    <xf borderId="4" fillId="2" fontId="2" numFmtId="0" xfId="0" applyAlignment="1" applyBorder="1" applyFont="1">
      <alignment horizontal="center" shrinkToFit="0" vertical="center" wrapText="1"/>
    </xf>
    <xf borderId="0" fillId="0" fontId="5" numFmtId="166" xfId="0" applyAlignment="1" applyFont="1" applyNumberFormat="1">
      <alignment shrinkToFit="0" vertical="center" wrapText="1"/>
    </xf>
    <xf borderId="0" fillId="0" fontId="5" numFmtId="164" xfId="0" applyAlignment="1" applyFont="1" applyNumberFormat="1">
      <alignment shrinkToFit="0" vertical="center" wrapText="1"/>
    </xf>
    <xf borderId="0" fillId="0" fontId="5" numFmtId="49" xfId="0" applyAlignment="1" applyFont="1" applyNumberFormat="1">
      <alignment shrinkToFit="0" vertical="center" wrapText="1"/>
    </xf>
    <xf borderId="0" fillId="0" fontId="5" numFmtId="0" xfId="0" applyAlignment="1" applyFont="1">
      <alignment readingOrder="0" shrinkToFit="0" vertical="center" wrapText="1"/>
    </xf>
    <xf borderId="0" fillId="0" fontId="14" numFmtId="0" xfId="0" applyAlignment="1" applyFont="1">
      <alignment vertical="center"/>
    </xf>
    <xf borderId="0" fillId="0" fontId="5" numFmtId="0" xfId="0" applyFont="1"/>
    <xf borderId="0" fillId="0" fontId="5" numFmtId="49" xfId="0" applyFont="1" applyNumberFormat="1"/>
    <xf borderId="0" fillId="0" fontId="5" numFmtId="167" xfId="0" applyAlignment="1" applyFont="1" applyNumberFormat="1">
      <alignment shrinkToFit="0" vertical="center" wrapText="1"/>
    </xf>
  </cellXfs>
  <cellStyles count="1">
    <cellStyle xfId="0" name="Normal" builtinId="0"/>
  </cellStyles>
  <dxfs count="1">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5.14"/>
    <col customWidth="1" min="2" max="2" width="9.57"/>
    <col customWidth="1" min="3" max="3" width="12.57"/>
    <col customWidth="1" min="4" max="4" width="51.86"/>
    <col customWidth="1" min="7" max="7" width="13.14"/>
  </cols>
  <sheetData>
    <row r="1" ht="32.25" customHeight="1">
      <c r="A1" s="1" t="s">
        <v>0</v>
      </c>
    </row>
    <row r="2">
      <c r="A2" s="2" t="s">
        <v>1</v>
      </c>
      <c r="B2" s="3" t="s">
        <v>2</v>
      </c>
      <c r="C2" s="4" t="s">
        <v>3</v>
      </c>
      <c r="D2" s="3" t="s">
        <v>4</v>
      </c>
      <c r="E2" s="5" t="s">
        <v>5</v>
      </c>
      <c r="F2" s="6"/>
      <c r="G2" s="4" t="s">
        <v>6</v>
      </c>
    </row>
    <row r="3" ht="23.25" customHeight="1">
      <c r="A3" s="7"/>
      <c r="B3" s="7"/>
      <c r="C3" s="7"/>
      <c r="D3" s="7"/>
      <c r="E3" s="3" t="s">
        <v>7</v>
      </c>
      <c r="F3" s="3" t="s">
        <v>8</v>
      </c>
      <c r="G3" s="7"/>
    </row>
    <row r="4">
      <c r="A4" s="8" t="s">
        <v>9</v>
      </c>
      <c r="B4" s="9"/>
      <c r="C4" s="9"/>
      <c r="D4" s="9"/>
      <c r="E4" s="10"/>
      <c r="F4" s="10"/>
      <c r="G4" s="10"/>
    </row>
    <row r="5">
      <c r="A5" s="11">
        <v>1.0</v>
      </c>
      <c r="B5" s="12">
        <v>8.0076111E7</v>
      </c>
      <c r="C5" s="12" t="s">
        <v>10</v>
      </c>
      <c r="D5" s="13" t="s">
        <v>11</v>
      </c>
      <c r="E5" s="14" t="str">
        <f>if(countifs(DATABASE!I:I,"Bảo trì",DATABASE!E:E,C5,DATABASE!A:A,"&gt;01/03/2021",DATABASE!A:A,"&lt;01/09/2021")&gt;=1,"Đã bảo trì","")</f>
        <v/>
      </c>
      <c r="F5" s="14" t="str">
        <f>if(countifs(DATABASE!I:I,"Bảo trì",DATABASE!E:E,C5,DATABASE!A:A,"&gt;01/09/2021",DATABASE!A:A,"&lt;01/03/2022")&gt;=1,"Đã bảo trì","")</f>
        <v/>
      </c>
      <c r="G5" s="14">
        <f>countifs(DATABASE!E:E,C5)</f>
        <v>0</v>
      </c>
    </row>
    <row r="6">
      <c r="A6" s="15">
        <v>2.0</v>
      </c>
      <c r="B6" s="16">
        <v>8.0025106E7</v>
      </c>
      <c r="C6" s="16" t="s">
        <v>12</v>
      </c>
      <c r="D6" s="17" t="s">
        <v>13</v>
      </c>
      <c r="E6" s="14" t="str">
        <f>if(countifs(DATABASE!I:I,"Bảo trì",DATABASE!E:E,C6,DATABASE!A:A,"&gt;01/03/2021",DATABASE!A:A,"&lt;01/09/2021")&gt;=1,"Đã bảo trì","")</f>
        <v/>
      </c>
      <c r="F6" s="14" t="str">
        <f>if(countifs(DATABASE!I:I,"Bảo trì",DATABASE!E:E,C6,DATABASE!A:A,"&gt;01/09/2021",DATABASE!A:A,"&lt;01/03/2022")&gt;=1,"Đã bảo trì","")</f>
        <v/>
      </c>
      <c r="G6" s="14">
        <f>countifs(DATABASE!E:E,C6)</f>
        <v>0</v>
      </c>
    </row>
    <row r="7">
      <c r="A7" s="15">
        <v>3.0</v>
      </c>
      <c r="B7" s="16">
        <v>8.0009022E7</v>
      </c>
      <c r="C7" s="16" t="s">
        <v>14</v>
      </c>
      <c r="D7" s="17" t="s">
        <v>15</v>
      </c>
      <c r="E7" s="14" t="str">
        <f>if(countifs(DATABASE!I:I,"Bảo trì",DATABASE!E:E,C7,DATABASE!A:A,"&gt;01/03/2021",DATABASE!A:A,"&lt;01/09/2021")&gt;=1,"Đã bảo trì","")</f>
        <v>Đã bảo trì</v>
      </c>
      <c r="F7" s="14" t="str">
        <f>if(countifs(DATABASE!I:I,"Bảo trì",DATABASE!E:E,C7,DATABASE!A:A,"&gt;01/09/2021",DATABASE!A:A,"&lt;01/03/2022")&gt;=1,"Đã bảo trì","")</f>
        <v/>
      </c>
      <c r="G7" s="14">
        <f>countifs(DATABASE!E:E,C7)</f>
        <v>1</v>
      </c>
    </row>
    <row r="8">
      <c r="A8" s="15">
        <v>4.0</v>
      </c>
      <c r="B8" s="16">
        <v>8.0035509E7</v>
      </c>
      <c r="C8" s="16" t="s">
        <v>16</v>
      </c>
      <c r="D8" s="17" t="s">
        <v>17</v>
      </c>
      <c r="E8" s="14" t="str">
        <f>if(countifs(DATABASE!I:I,"Bảo trì",DATABASE!E:E,C8,DATABASE!A:A,"&gt;01/03/2021",DATABASE!A:A,"&lt;01/09/2021")&gt;=1,"Đã bảo trì","")</f>
        <v>Đã bảo trì</v>
      </c>
      <c r="F8" s="14" t="str">
        <f>if(countifs(DATABASE!I:I,"Bảo trì",DATABASE!E:E,C8,DATABASE!A:A,"&gt;01/09/2021",DATABASE!A:A,"&lt;01/03/2022")&gt;=1,"Đã bảo trì","")</f>
        <v/>
      </c>
      <c r="G8" s="14">
        <f>countifs(DATABASE!E:E,C8)</f>
        <v>1</v>
      </c>
    </row>
    <row r="9">
      <c r="A9" s="15">
        <v>5.0</v>
      </c>
      <c r="B9" s="16">
        <v>8.003551E7</v>
      </c>
      <c r="C9" s="16" t="s">
        <v>18</v>
      </c>
      <c r="D9" s="17" t="s">
        <v>19</v>
      </c>
      <c r="E9" s="14" t="str">
        <f>if(countifs(DATABASE!I:I,"Bảo trì",DATABASE!E:E,C9,DATABASE!A:A,"&gt;01/03/2021",DATABASE!A:A,"&lt;01/09/2021")&gt;=1,"Đã bảo trì","")</f>
        <v>Đã bảo trì</v>
      </c>
      <c r="F9" s="14" t="str">
        <f>if(countifs(DATABASE!I:I,"Bảo trì",DATABASE!E:E,C9,DATABASE!A:A,"&gt;01/09/2021",DATABASE!A:A,"&lt;01/03/2022")&gt;=1,"Đã bảo trì","")</f>
        <v/>
      </c>
      <c r="G9" s="14">
        <f>countifs(DATABASE!E:E,C9)</f>
        <v>1</v>
      </c>
    </row>
    <row r="10">
      <c r="A10" s="15">
        <v>6.0</v>
      </c>
      <c r="B10" s="16">
        <v>8.0081012E7</v>
      </c>
      <c r="C10" s="16" t="s">
        <v>20</v>
      </c>
      <c r="D10" s="17" t="s">
        <v>21</v>
      </c>
      <c r="E10" s="14" t="str">
        <f>if(countifs(DATABASE!I:I,"Bảo trì",DATABASE!E:E,C10,DATABASE!A:A,"&gt;01/03/2021",DATABASE!A:A,"&lt;01/09/2021")&gt;=1,"Đã bảo trì","")</f>
        <v/>
      </c>
      <c r="F10" s="14" t="str">
        <f>if(countifs(DATABASE!I:I,"Bảo trì",DATABASE!E:E,C10,DATABASE!A:A,"&gt;01/09/2021",DATABASE!A:A,"&lt;01/03/2022")&gt;=1,"Đã bảo trì","")</f>
        <v/>
      </c>
      <c r="G10" s="14">
        <f>countifs(DATABASE!E:E,C10)</f>
        <v>2</v>
      </c>
    </row>
    <row r="11">
      <c r="A11" s="15">
        <v>7.0</v>
      </c>
      <c r="B11" s="16">
        <v>8.0088208E7</v>
      </c>
      <c r="C11" s="16" t="s">
        <v>22</v>
      </c>
      <c r="D11" s="17" t="s">
        <v>23</v>
      </c>
      <c r="E11" s="14" t="str">
        <f>if(countifs(DATABASE!I:I,"Bảo trì",DATABASE!E:E,C11,DATABASE!A:A,"&gt;01/03/2021",DATABASE!A:A,"&lt;01/09/2021")&gt;=1,"Đã bảo trì","")</f>
        <v/>
      </c>
      <c r="F11" s="14" t="str">
        <f>if(countifs(DATABASE!I:I,"Bảo trì",DATABASE!E:E,C11,DATABASE!A:A,"&gt;01/09/2021",DATABASE!A:A,"&lt;01/03/2022")&gt;=1,"Đã bảo trì","")</f>
        <v/>
      </c>
      <c r="G11" s="14">
        <f>countifs(DATABASE!E:E,C11)</f>
        <v>0</v>
      </c>
    </row>
    <row r="12">
      <c r="A12" s="15">
        <v>8.0</v>
      </c>
      <c r="B12" s="16">
        <v>8.0018003E7</v>
      </c>
      <c r="C12" s="16" t="s">
        <v>24</v>
      </c>
      <c r="D12" s="17" t="s">
        <v>25</v>
      </c>
      <c r="E12" s="14" t="str">
        <f>if(countifs(DATABASE!I:I,"Bảo trì",DATABASE!E:E,C12,DATABASE!A:A,"&gt;01/03/2021",DATABASE!A:A,"&lt;01/09/2021")&gt;=1,"Đã bảo trì","")</f>
        <v/>
      </c>
      <c r="F12" s="14" t="str">
        <f>if(countifs(DATABASE!I:I,"Bảo trì",DATABASE!E:E,C12,DATABASE!A:A,"&gt;01/09/2021",DATABASE!A:A,"&lt;01/03/2022")&gt;=1,"Đã bảo trì","")</f>
        <v/>
      </c>
      <c r="G12" s="14">
        <f>countifs(DATABASE!E:E,C12)</f>
        <v>2</v>
      </c>
    </row>
    <row r="13">
      <c r="A13" s="15">
        <v>9.0</v>
      </c>
      <c r="B13" s="16">
        <v>8.0066002E7</v>
      </c>
      <c r="C13" s="16" t="s">
        <v>26</v>
      </c>
      <c r="D13" s="17" t="s">
        <v>27</v>
      </c>
      <c r="E13" s="14" t="str">
        <f>if(countifs(DATABASE!I:I,"Bảo trì",DATABASE!E:E,C13,DATABASE!A:A,"&gt;01/03/2021",DATABASE!A:A,"&lt;01/09/2021")&gt;=1,"Đã bảo trì","")</f>
        <v/>
      </c>
      <c r="F13" s="14" t="str">
        <f>if(countifs(DATABASE!I:I,"Bảo trì",DATABASE!E:E,C13,DATABASE!A:A,"&gt;01/09/2021",DATABASE!A:A,"&lt;01/03/2022")&gt;=1,"Đã bảo trì","")</f>
        <v/>
      </c>
      <c r="G13" s="14">
        <f>countifs(DATABASE!E:E,C13)</f>
        <v>0</v>
      </c>
    </row>
    <row r="14">
      <c r="A14" s="15">
        <v>10.0</v>
      </c>
      <c r="B14" s="16">
        <v>8.0014202E7</v>
      </c>
      <c r="C14" s="16" t="s">
        <v>28</v>
      </c>
      <c r="D14" s="17" t="s">
        <v>29</v>
      </c>
      <c r="E14" s="14" t="str">
        <f>if(countifs(DATABASE!I:I,"Bảo trì",DATABASE!E:E,C14,DATABASE!A:A,"&gt;01/03/2021",DATABASE!A:A,"&lt;01/09/2021")&gt;=1,"Đã bảo trì","")</f>
        <v/>
      </c>
      <c r="F14" s="14" t="str">
        <f>if(countifs(DATABASE!I:I,"Bảo trì",DATABASE!E:E,C14,DATABASE!A:A,"&gt;01/09/2021",DATABASE!A:A,"&lt;01/03/2022")&gt;=1,"Đã bảo trì","")</f>
        <v/>
      </c>
      <c r="G14" s="14">
        <f>countifs(DATABASE!E:E,C14)</f>
        <v>0</v>
      </c>
    </row>
    <row r="15">
      <c r="A15" s="15">
        <v>11.0</v>
      </c>
      <c r="B15" s="16">
        <v>8.0014302E7</v>
      </c>
      <c r="C15" s="16" t="s">
        <v>30</v>
      </c>
      <c r="D15" s="17" t="s">
        <v>31</v>
      </c>
      <c r="E15" s="14" t="str">
        <f>if(countifs(DATABASE!I:I,"Bảo trì",DATABASE!E:E,C15,DATABASE!A:A,"&gt;01/03/2021",DATABASE!A:A,"&lt;01/09/2021")&gt;=1,"Đã bảo trì","")</f>
        <v/>
      </c>
      <c r="F15" s="14" t="str">
        <f>if(countifs(DATABASE!I:I,"Bảo trì",DATABASE!E:E,C15,DATABASE!A:A,"&gt;01/09/2021",DATABASE!A:A,"&lt;01/03/2022")&gt;=1,"Đã bảo trì","")</f>
        <v/>
      </c>
      <c r="G15" s="14">
        <f>countifs(DATABASE!E:E,C15)</f>
        <v>0</v>
      </c>
    </row>
    <row r="16">
      <c r="A16" s="15">
        <v>12.0</v>
      </c>
      <c r="B16" s="16">
        <v>8.0072706E7</v>
      </c>
      <c r="C16" s="16" t="s">
        <v>32</v>
      </c>
      <c r="D16" s="17" t="s">
        <v>33</v>
      </c>
      <c r="E16" s="14" t="str">
        <f>if(countifs(DATABASE!I:I,"Bảo trì",DATABASE!E:E,C16,DATABASE!A:A,"&gt;01/03/2021",DATABASE!A:A,"&lt;01/09/2021")&gt;=1,"Đã bảo trì","")</f>
        <v/>
      </c>
      <c r="F16" s="14" t="str">
        <f>if(countifs(DATABASE!I:I,"Bảo trì",DATABASE!E:E,C16,DATABASE!A:A,"&gt;01/09/2021",DATABASE!A:A,"&lt;01/03/2022")&gt;=1,"Đã bảo trì","")</f>
        <v/>
      </c>
      <c r="G16" s="14">
        <f>countifs(DATABASE!E:E,C16)</f>
        <v>0</v>
      </c>
    </row>
    <row r="17">
      <c r="A17" s="15">
        <v>13.0</v>
      </c>
      <c r="B17" s="16">
        <v>8.0072707E7</v>
      </c>
      <c r="C17" s="16" t="s">
        <v>34</v>
      </c>
      <c r="D17" s="17" t="s">
        <v>35</v>
      </c>
      <c r="E17" s="14" t="str">
        <f>if(countifs(DATABASE!I:I,"Bảo trì",DATABASE!E:E,C17,DATABASE!A:A,"&gt;01/03/2021",DATABASE!A:A,"&lt;01/09/2021")&gt;=1,"Đã bảo trì","")</f>
        <v/>
      </c>
      <c r="F17" s="14" t="str">
        <f>if(countifs(DATABASE!I:I,"Bảo trì",DATABASE!E:E,C17,DATABASE!A:A,"&gt;01/09/2021",DATABASE!A:A,"&lt;01/03/2022")&gt;=1,"Đã bảo trì","")</f>
        <v/>
      </c>
      <c r="G17" s="14">
        <f>countifs(DATABASE!E:E,C17)</f>
        <v>0</v>
      </c>
    </row>
    <row r="18">
      <c r="A18" s="15">
        <v>14.0</v>
      </c>
      <c r="B18" s="16">
        <v>8.0033006E7</v>
      </c>
      <c r="C18" s="16" t="s">
        <v>36</v>
      </c>
      <c r="D18" s="17" t="s">
        <v>37</v>
      </c>
      <c r="E18" s="14" t="str">
        <f>if(countifs(DATABASE!I:I,"Bảo trì",DATABASE!E:E,C18,DATABASE!A:A,"&gt;01/03/2021",DATABASE!A:A,"&lt;01/09/2021")&gt;=1,"Đã bảo trì","")</f>
        <v/>
      </c>
      <c r="F18" s="14" t="str">
        <f>if(countifs(DATABASE!I:I,"Bảo trì",DATABASE!E:E,C18,DATABASE!A:A,"&gt;01/09/2021",DATABASE!A:A,"&lt;01/03/2022")&gt;=1,"Đã bảo trì","")</f>
        <v/>
      </c>
      <c r="G18" s="14">
        <f>countifs(DATABASE!E:E,C18)</f>
        <v>0</v>
      </c>
    </row>
    <row r="19">
      <c r="A19" s="15">
        <v>15.0</v>
      </c>
      <c r="B19" s="16">
        <v>8.0040201E7</v>
      </c>
      <c r="C19" s="16" t="s">
        <v>38</v>
      </c>
      <c r="D19" s="17" t="s">
        <v>39</v>
      </c>
      <c r="E19" s="14" t="str">
        <f>if(countifs(DATABASE!I:I,"Bảo trì",DATABASE!E:E,C19,DATABASE!A:A,"&gt;01/03/2021",DATABASE!A:A,"&lt;01/09/2021")&gt;=1,"Đã bảo trì","")</f>
        <v/>
      </c>
      <c r="F19" s="14" t="str">
        <f>if(countifs(DATABASE!I:I,"Bảo trì",DATABASE!E:E,C19,DATABASE!A:A,"&gt;01/09/2021",DATABASE!A:A,"&lt;01/03/2022")&gt;=1,"Đã bảo trì","")</f>
        <v/>
      </c>
      <c r="G19" s="14">
        <f>countifs(DATABASE!E:E,C19)</f>
        <v>0</v>
      </c>
    </row>
    <row r="20">
      <c r="A20" s="15">
        <v>16.0</v>
      </c>
      <c r="B20" s="16">
        <v>8.0051504E7</v>
      </c>
      <c r="C20" s="16" t="s">
        <v>40</v>
      </c>
      <c r="D20" s="17" t="s">
        <v>41</v>
      </c>
      <c r="E20" s="14" t="str">
        <f>if(countifs(DATABASE!I:I,"Bảo trì",DATABASE!E:E,C20,DATABASE!A:A,"&gt;01/03/2021",DATABASE!A:A,"&lt;01/09/2021")&gt;=1,"Đã bảo trì","")</f>
        <v/>
      </c>
      <c r="F20" s="14" t="str">
        <f>if(countifs(DATABASE!I:I,"Bảo trì",DATABASE!E:E,C20,DATABASE!A:A,"&gt;01/09/2021",DATABASE!A:A,"&lt;01/03/2022")&gt;=1,"Đã bảo trì","")</f>
        <v/>
      </c>
      <c r="G20" s="14">
        <f>countifs(DATABASE!E:E,C20)</f>
        <v>1</v>
      </c>
    </row>
    <row r="21">
      <c r="A21" s="15">
        <v>17.0</v>
      </c>
      <c r="B21" s="16">
        <v>8.0018005E7</v>
      </c>
      <c r="C21" s="16" t="s">
        <v>42</v>
      </c>
      <c r="D21" s="17" t="s">
        <v>43</v>
      </c>
      <c r="E21" s="14" t="str">
        <f>if(countifs(DATABASE!I:I,"Bảo trì",DATABASE!E:E,C21,DATABASE!A:A,"&gt;01/03/2021",DATABASE!A:A,"&lt;01/09/2021")&gt;=1,"Đã bảo trì","")</f>
        <v/>
      </c>
      <c r="F21" s="14" t="str">
        <f>if(countifs(DATABASE!I:I,"Bảo trì",DATABASE!E:E,C21,DATABASE!A:A,"&gt;01/09/2021",DATABASE!A:A,"&lt;01/03/2022")&gt;=1,"Đã bảo trì","")</f>
        <v/>
      </c>
      <c r="G21" s="14">
        <f>countifs(DATABASE!E:E,C21)</f>
        <v>1</v>
      </c>
    </row>
    <row r="22">
      <c r="A22" s="15">
        <v>18.0</v>
      </c>
      <c r="B22" s="16">
        <v>8.0055401E7</v>
      </c>
      <c r="C22" s="16" t="s">
        <v>44</v>
      </c>
      <c r="D22" s="17" t="s">
        <v>45</v>
      </c>
      <c r="E22" s="14" t="str">
        <f>if(countifs(DATABASE!I:I,"Bảo trì",DATABASE!E:E,C22,DATABASE!A:A,"&gt;01/03/2021",DATABASE!A:A,"&lt;01/09/2021")&gt;=1,"Đã bảo trì","")</f>
        <v/>
      </c>
      <c r="F22" s="14" t="str">
        <f>if(countifs(DATABASE!I:I,"Bảo trì",DATABASE!E:E,C22,DATABASE!A:A,"&gt;01/09/2021",DATABASE!A:A,"&lt;01/03/2022")&gt;=1,"Đã bảo trì","")</f>
        <v/>
      </c>
      <c r="G22" s="14">
        <f>countifs(DATABASE!E:E,C22)</f>
        <v>0</v>
      </c>
    </row>
    <row r="23">
      <c r="A23" s="15">
        <v>19.0</v>
      </c>
      <c r="B23" s="16">
        <v>8.003011E7</v>
      </c>
      <c r="C23" s="16" t="s">
        <v>46</v>
      </c>
      <c r="D23" s="17" t="s">
        <v>47</v>
      </c>
      <c r="E23" s="14" t="str">
        <f>if(countifs(DATABASE!I:I,"Bảo trì",DATABASE!E:E,C23,DATABASE!A:A,"&gt;01/03/2021",DATABASE!A:A,"&lt;01/09/2021")&gt;=1,"Đã bảo trì","")</f>
        <v/>
      </c>
      <c r="F23" s="14" t="str">
        <f>if(countifs(DATABASE!I:I,"Bảo trì",DATABASE!E:E,C23,DATABASE!A:A,"&gt;01/09/2021",DATABASE!A:A,"&lt;01/03/2022")&gt;=1,"Đã bảo trì","")</f>
        <v/>
      </c>
      <c r="G23" s="14">
        <f>countifs(DATABASE!E:E,C23)</f>
        <v>0</v>
      </c>
    </row>
    <row r="24">
      <c r="A24" s="15">
        <v>20.0</v>
      </c>
      <c r="B24" s="16">
        <v>8.0006505E7</v>
      </c>
      <c r="C24" s="16" t="s">
        <v>48</v>
      </c>
      <c r="D24" s="17" t="s">
        <v>49</v>
      </c>
      <c r="E24" s="14" t="str">
        <f>if(countifs(DATABASE!I:I,"Bảo trì",DATABASE!E:E,C24,DATABASE!A:A,"&gt;01/03/2021",DATABASE!A:A,"&lt;01/09/2021")&gt;=1,"Đã bảo trì","")</f>
        <v/>
      </c>
      <c r="F24" s="14" t="str">
        <f>if(countifs(DATABASE!I:I,"Bảo trì",DATABASE!E:E,C24,DATABASE!A:A,"&gt;01/09/2021",DATABASE!A:A,"&lt;01/03/2022")&gt;=1,"Đã bảo trì","")</f>
        <v/>
      </c>
      <c r="G24" s="14">
        <f>countifs(DATABASE!E:E,C24)</f>
        <v>0</v>
      </c>
    </row>
    <row r="25">
      <c r="A25" s="15">
        <v>21.0</v>
      </c>
      <c r="B25" s="16">
        <v>8.0005603E7</v>
      </c>
      <c r="C25" s="16" t="s">
        <v>50</v>
      </c>
      <c r="D25" s="17" t="s">
        <v>51</v>
      </c>
      <c r="E25" s="14" t="str">
        <f>if(countifs(DATABASE!I:I,"Bảo trì",DATABASE!E:E,C25,DATABASE!A:A,"&gt;01/03/2021",DATABASE!A:A,"&lt;01/09/2021")&gt;=1,"Đã bảo trì","")</f>
        <v/>
      </c>
      <c r="F25" s="14" t="str">
        <f>if(countifs(DATABASE!I:I,"Bảo trì",DATABASE!E:E,C25,DATABASE!A:A,"&gt;01/09/2021",DATABASE!A:A,"&lt;01/03/2022")&gt;=1,"Đã bảo trì","")</f>
        <v/>
      </c>
      <c r="G25" s="14">
        <f>countifs(DATABASE!E:E,C25)</f>
        <v>1</v>
      </c>
    </row>
    <row r="26">
      <c r="A26" s="15">
        <v>22.0</v>
      </c>
      <c r="B26" s="16">
        <v>8.0005602E7</v>
      </c>
      <c r="C26" s="16" t="s">
        <v>52</v>
      </c>
      <c r="D26" s="17" t="s">
        <v>53</v>
      </c>
      <c r="E26" s="14" t="str">
        <f>if(countifs(DATABASE!I:I,"Bảo trì",DATABASE!E:E,C26,DATABASE!A:A,"&gt;01/03/2021",DATABASE!A:A,"&lt;01/09/2021")&gt;=1,"Đã bảo trì","")</f>
        <v/>
      </c>
      <c r="F26" s="14" t="str">
        <f>if(countifs(DATABASE!I:I,"Bảo trì",DATABASE!E:E,C26,DATABASE!A:A,"&gt;01/09/2021",DATABASE!A:A,"&lt;01/03/2022")&gt;=1,"Đã bảo trì","")</f>
        <v/>
      </c>
      <c r="G26" s="14">
        <f>countifs(DATABASE!E:E,C26)</f>
        <v>1</v>
      </c>
    </row>
    <row r="27">
      <c r="A27" s="15">
        <v>23.0</v>
      </c>
      <c r="B27" s="16">
        <v>8.0083101E7</v>
      </c>
      <c r="C27" s="16" t="s">
        <v>54</v>
      </c>
      <c r="D27" s="17" t="s">
        <v>55</v>
      </c>
      <c r="E27" s="14" t="str">
        <f>if(countifs(DATABASE!I:I,"Bảo trì",DATABASE!E:E,C27,DATABASE!A:A,"&gt;01/03/2021",DATABASE!A:A,"&lt;01/09/2021")&gt;=1,"Đã bảo trì","")</f>
        <v/>
      </c>
      <c r="F27" s="14" t="str">
        <f>if(countifs(DATABASE!I:I,"Bảo trì",DATABASE!E:E,C27,DATABASE!A:A,"&gt;01/09/2021",DATABASE!A:A,"&lt;01/03/2022")&gt;=1,"Đã bảo trì","")</f>
        <v/>
      </c>
      <c r="G27" s="14">
        <f>countifs(DATABASE!E:E,C27)</f>
        <v>0</v>
      </c>
    </row>
    <row r="28">
      <c r="A28" s="15">
        <v>24.0</v>
      </c>
      <c r="B28" s="16">
        <v>8.0072004E7</v>
      </c>
      <c r="C28" s="16" t="s">
        <v>56</v>
      </c>
      <c r="D28" s="17" t="s">
        <v>57</v>
      </c>
      <c r="E28" s="14" t="str">
        <f>if(countifs(DATABASE!I:I,"Bảo trì",DATABASE!E:E,C28,DATABASE!A:A,"&gt;01/03/2021",DATABASE!A:A,"&lt;01/09/2021")&gt;=1,"Đã bảo trì","")</f>
        <v/>
      </c>
      <c r="F28" s="14" t="str">
        <f>if(countifs(DATABASE!I:I,"Bảo trì",DATABASE!E:E,C28,DATABASE!A:A,"&gt;01/09/2021",DATABASE!A:A,"&lt;01/03/2022")&gt;=1,"Đã bảo trì","")</f>
        <v/>
      </c>
      <c r="G28" s="14">
        <f>countifs(DATABASE!E:E,C28)</f>
        <v>0</v>
      </c>
    </row>
    <row r="29">
      <c r="A29" s="15">
        <v>25.0</v>
      </c>
      <c r="B29" s="16">
        <v>8.0040106E7</v>
      </c>
      <c r="C29" s="16" t="s">
        <v>58</v>
      </c>
      <c r="D29" s="17" t="s">
        <v>59</v>
      </c>
      <c r="E29" s="14" t="str">
        <f>if(countifs(DATABASE!I:I,"Bảo trì",DATABASE!E:E,C29,DATABASE!A:A,"&gt;01/03/2021",DATABASE!A:A,"&lt;01/09/2021")&gt;=1,"Đã bảo trì","")</f>
        <v/>
      </c>
      <c r="F29" s="14" t="str">
        <f>if(countifs(DATABASE!I:I,"Bảo trì",DATABASE!E:E,C29,DATABASE!A:A,"&gt;01/09/2021",DATABASE!A:A,"&lt;01/03/2022")&gt;=1,"Đã bảo trì","")</f>
        <v/>
      </c>
      <c r="G29" s="14">
        <f>countifs(DATABASE!E:E,C29)</f>
        <v>0</v>
      </c>
    </row>
    <row r="30">
      <c r="A30" s="15">
        <v>26.0</v>
      </c>
      <c r="B30" s="16">
        <v>8.0040107E7</v>
      </c>
      <c r="C30" s="16" t="s">
        <v>60</v>
      </c>
      <c r="D30" s="17" t="s">
        <v>61</v>
      </c>
      <c r="E30" s="14" t="str">
        <f>if(countifs(DATABASE!I:I,"Bảo trì",DATABASE!E:E,C30,DATABASE!A:A,"&gt;01/03/2021",DATABASE!A:A,"&lt;01/09/2021")&gt;=1,"Đã bảo trì","")</f>
        <v/>
      </c>
      <c r="F30" s="14" t="str">
        <f>if(countifs(DATABASE!I:I,"Bảo trì",DATABASE!E:E,C30,DATABASE!A:A,"&gt;01/09/2021",DATABASE!A:A,"&lt;01/03/2022")&gt;=1,"Đã bảo trì","")</f>
        <v/>
      </c>
      <c r="G30" s="14">
        <f>countifs(DATABASE!E:E,C30)</f>
        <v>0</v>
      </c>
    </row>
    <row r="31">
      <c r="A31" s="15">
        <v>27.0</v>
      </c>
      <c r="B31" s="16">
        <v>8.0033004E7</v>
      </c>
      <c r="C31" s="16" t="s">
        <v>62</v>
      </c>
      <c r="D31" s="17" t="s">
        <v>63</v>
      </c>
      <c r="E31" s="14" t="str">
        <f>if(countifs(DATABASE!I:I,"Bảo trì",DATABASE!E:E,C31,DATABASE!A:A,"&gt;01/03/2021",DATABASE!A:A,"&lt;01/09/2021")&gt;=1,"Đã bảo trì","")</f>
        <v/>
      </c>
      <c r="F31" s="14" t="str">
        <f>if(countifs(DATABASE!I:I,"Bảo trì",DATABASE!E:E,C31,DATABASE!A:A,"&gt;01/09/2021",DATABASE!A:A,"&lt;01/03/2022")&gt;=1,"Đã bảo trì","")</f>
        <v/>
      </c>
      <c r="G31" s="14">
        <f>countifs(DATABASE!E:E,C31)</f>
        <v>0</v>
      </c>
    </row>
    <row r="32">
      <c r="A32" s="15">
        <v>28.0</v>
      </c>
      <c r="B32" s="16">
        <v>8.0005605E7</v>
      </c>
      <c r="C32" s="16" t="s">
        <v>64</v>
      </c>
      <c r="D32" s="17" t="s">
        <v>65</v>
      </c>
      <c r="E32" s="14" t="str">
        <f>if(countifs(DATABASE!I:I,"Bảo trì",DATABASE!E:E,C32,DATABASE!A:A,"&gt;01/03/2021",DATABASE!A:A,"&lt;01/09/2021")&gt;=1,"Đã bảo trì","")</f>
        <v/>
      </c>
      <c r="F32" s="14" t="str">
        <f>if(countifs(DATABASE!I:I,"Bảo trì",DATABASE!E:E,C32,DATABASE!A:A,"&gt;01/09/2021",DATABASE!A:A,"&lt;01/03/2022")&gt;=1,"Đã bảo trì","")</f>
        <v/>
      </c>
      <c r="G32" s="14">
        <f>countifs(DATABASE!E:E,C32)</f>
        <v>1</v>
      </c>
    </row>
    <row r="33">
      <c r="A33" s="15">
        <v>29.0</v>
      </c>
      <c r="B33" s="16">
        <v>8.0005901E7</v>
      </c>
      <c r="C33" s="16" t="s">
        <v>66</v>
      </c>
      <c r="D33" s="17" t="s">
        <v>67</v>
      </c>
      <c r="E33" s="14" t="str">
        <f>if(countifs(DATABASE!I:I,"Bảo trì",DATABASE!E:E,C33,DATABASE!A:A,"&gt;01/03/2021",DATABASE!A:A,"&lt;01/09/2021")&gt;=1,"Đã bảo trì","")</f>
        <v>Đã bảo trì</v>
      </c>
      <c r="F33" s="14" t="str">
        <f>if(countifs(DATABASE!I:I,"Bảo trì",DATABASE!E:E,C33,DATABASE!A:A,"&gt;01/09/2021",DATABASE!A:A,"&lt;01/03/2022")&gt;=1,"Đã bảo trì","")</f>
        <v/>
      </c>
      <c r="G33" s="14">
        <f>countifs(DATABASE!E:E,C33)</f>
        <v>1</v>
      </c>
    </row>
    <row r="34">
      <c r="A34" s="15">
        <v>30.0</v>
      </c>
      <c r="B34" s="16">
        <v>8.0008615E7</v>
      </c>
      <c r="C34" s="16" t="s">
        <v>68</v>
      </c>
      <c r="D34" s="17" t="s">
        <v>69</v>
      </c>
      <c r="E34" s="14" t="str">
        <f>if(countifs(DATABASE!I:I,"Bảo trì",DATABASE!E:E,C34,DATABASE!A:A,"&gt;01/03/2021",DATABASE!A:A,"&lt;01/09/2021")&gt;=1,"Đã bảo trì","")</f>
        <v/>
      </c>
      <c r="F34" s="14" t="str">
        <f>if(countifs(DATABASE!I:I,"Bảo trì",DATABASE!E:E,C34,DATABASE!A:A,"&gt;01/09/2021",DATABASE!A:A,"&lt;01/03/2022")&gt;=1,"Đã bảo trì","")</f>
        <v/>
      </c>
      <c r="G34" s="14">
        <f>countifs(DATABASE!E:E,C34)</f>
        <v>0</v>
      </c>
    </row>
    <row r="35">
      <c r="A35" s="15">
        <v>31.0</v>
      </c>
      <c r="B35" s="16">
        <v>8.0014601E7</v>
      </c>
      <c r="C35" s="16" t="s">
        <v>70</v>
      </c>
      <c r="D35" s="17" t="s">
        <v>71</v>
      </c>
      <c r="E35" s="14" t="str">
        <f>if(countifs(DATABASE!I:I,"Bảo trì",DATABASE!E:E,C35,DATABASE!A:A,"&gt;01/03/2021",DATABASE!A:A,"&lt;01/09/2021")&gt;=1,"Đã bảo trì","")</f>
        <v/>
      </c>
      <c r="F35" s="14" t="str">
        <f>if(countifs(DATABASE!I:I,"Bảo trì",DATABASE!E:E,C35,DATABASE!A:A,"&gt;01/09/2021",DATABASE!A:A,"&lt;01/03/2022")&gt;=1,"Đã bảo trì","")</f>
        <v/>
      </c>
      <c r="G35" s="14">
        <f>countifs(DATABASE!E:E,C35)</f>
        <v>0</v>
      </c>
    </row>
    <row r="36">
      <c r="A36" s="15">
        <v>32.0</v>
      </c>
      <c r="B36" s="16">
        <v>8.0015401E7</v>
      </c>
      <c r="C36" s="16" t="s">
        <v>72</v>
      </c>
      <c r="D36" s="17" t="s">
        <v>73</v>
      </c>
      <c r="E36" s="14" t="str">
        <f>if(countifs(DATABASE!I:I,"Bảo trì",DATABASE!E:E,C36,DATABASE!A:A,"&gt;01/03/2021",DATABASE!A:A,"&lt;01/09/2021")&gt;=1,"Đã bảo trì","")</f>
        <v/>
      </c>
      <c r="F36" s="14" t="str">
        <f>if(countifs(DATABASE!I:I,"Bảo trì",DATABASE!E:E,C36,DATABASE!A:A,"&gt;01/09/2021",DATABASE!A:A,"&lt;01/03/2022")&gt;=1,"Đã bảo trì","")</f>
        <v/>
      </c>
      <c r="G36" s="14">
        <f>countifs(DATABASE!E:E,C36)</f>
        <v>0</v>
      </c>
    </row>
    <row r="37">
      <c r="A37" s="15">
        <v>33.0</v>
      </c>
      <c r="B37" s="16">
        <v>8.0088201E7</v>
      </c>
      <c r="C37" s="16" t="s">
        <v>74</v>
      </c>
      <c r="D37" s="17" t="s">
        <v>75</v>
      </c>
      <c r="E37" s="14" t="str">
        <f>if(countifs(DATABASE!I:I,"Bảo trì",DATABASE!E:E,C37,DATABASE!A:A,"&gt;01/03/2021",DATABASE!A:A,"&lt;01/09/2021")&gt;=1,"Đã bảo trì","")</f>
        <v>Đã bảo trì</v>
      </c>
      <c r="F37" s="14" t="str">
        <f>if(countifs(DATABASE!I:I,"Bảo trì",DATABASE!E:E,C37,DATABASE!A:A,"&gt;01/09/2021",DATABASE!A:A,"&lt;01/03/2022")&gt;=1,"Đã bảo trì","")</f>
        <v/>
      </c>
      <c r="G37" s="14">
        <f>countifs(DATABASE!E:E,C37)</f>
        <v>2</v>
      </c>
    </row>
    <row r="38">
      <c r="A38" s="15">
        <v>34.0</v>
      </c>
      <c r="B38" s="16">
        <v>8.0006701E7</v>
      </c>
      <c r="C38" s="16" t="s">
        <v>76</v>
      </c>
      <c r="D38" s="17" t="s">
        <v>77</v>
      </c>
      <c r="E38" s="14" t="str">
        <f>if(countifs(DATABASE!I:I,"Bảo trì",DATABASE!E:E,C38,DATABASE!A:A,"&gt;01/03/2021",DATABASE!A:A,"&lt;01/09/2021")&gt;=1,"Đã bảo trì","")</f>
        <v/>
      </c>
      <c r="F38" s="14" t="str">
        <f>if(countifs(DATABASE!I:I,"Bảo trì",DATABASE!E:E,C38,DATABASE!A:A,"&gt;01/09/2021",DATABASE!A:A,"&lt;01/03/2022")&gt;=1,"Đã bảo trì","")</f>
        <v/>
      </c>
      <c r="G38" s="14">
        <f>countifs(DATABASE!E:E,C38)</f>
        <v>0</v>
      </c>
    </row>
    <row r="39">
      <c r="A39" s="15">
        <v>35.0</v>
      </c>
      <c r="B39" s="16">
        <v>8.0007501E7</v>
      </c>
      <c r="C39" s="16" t="s">
        <v>78</v>
      </c>
      <c r="D39" s="17" t="s">
        <v>79</v>
      </c>
      <c r="E39" s="14" t="str">
        <f>if(countifs(DATABASE!I:I,"Bảo trì",DATABASE!E:E,C39,DATABASE!A:A,"&gt;01/03/2021",DATABASE!A:A,"&lt;01/09/2021")&gt;=1,"Đã bảo trì","")</f>
        <v/>
      </c>
      <c r="F39" s="14" t="str">
        <f>if(countifs(DATABASE!I:I,"Bảo trì",DATABASE!E:E,C39,DATABASE!A:A,"&gt;01/09/2021",DATABASE!A:A,"&lt;01/03/2022")&gt;=1,"Đã bảo trì","")</f>
        <v/>
      </c>
      <c r="G39" s="14">
        <f>countifs(DATABASE!E:E,C39)</f>
        <v>1</v>
      </c>
    </row>
    <row r="40">
      <c r="A40" s="15">
        <v>36.0</v>
      </c>
      <c r="B40" s="16">
        <v>8.0026402E7</v>
      </c>
      <c r="C40" s="16" t="s">
        <v>80</v>
      </c>
      <c r="D40" s="17" t="s">
        <v>81</v>
      </c>
      <c r="E40" s="14" t="str">
        <f>if(countifs(DATABASE!I:I,"Bảo trì",DATABASE!E:E,C40,DATABASE!A:A,"&gt;01/03/2021",DATABASE!A:A,"&lt;01/09/2021")&gt;=1,"Đã bảo trì","")</f>
        <v/>
      </c>
      <c r="F40" s="14" t="str">
        <f>if(countifs(DATABASE!I:I,"Bảo trì",DATABASE!E:E,C40,DATABASE!A:A,"&gt;01/09/2021",DATABASE!A:A,"&lt;01/03/2022")&gt;=1,"Đã bảo trì","")</f>
        <v/>
      </c>
      <c r="G40" s="14">
        <f>countifs(DATABASE!E:E,C40)</f>
        <v>0</v>
      </c>
    </row>
    <row r="41">
      <c r="A41" s="15">
        <v>37.0</v>
      </c>
      <c r="B41" s="16">
        <v>8.0027002E7</v>
      </c>
      <c r="C41" s="16" t="s">
        <v>82</v>
      </c>
      <c r="D41" s="17" t="s">
        <v>83</v>
      </c>
      <c r="E41" s="14" t="str">
        <f>if(countifs(DATABASE!I:I,"Bảo trì",DATABASE!E:E,C41,DATABASE!A:A,"&gt;01/03/2021",DATABASE!A:A,"&lt;01/09/2021")&gt;=1,"Đã bảo trì","")</f>
        <v/>
      </c>
      <c r="F41" s="14" t="str">
        <f>if(countifs(DATABASE!I:I,"Bảo trì",DATABASE!E:E,C41,DATABASE!A:A,"&gt;01/09/2021",DATABASE!A:A,"&lt;01/03/2022")&gt;=1,"Đã bảo trì","")</f>
        <v/>
      </c>
      <c r="G41" s="14">
        <f>countifs(DATABASE!E:E,C41)</f>
        <v>0</v>
      </c>
    </row>
    <row r="42">
      <c r="A42" s="15">
        <v>38.0</v>
      </c>
      <c r="B42" s="16">
        <v>8.0060105E7</v>
      </c>
      <c r="C42" s="16" t="s">
        <v>84</v>
      </c>
      <c r="D42" s="17" t="s">
        <v>85</v>
      </c>
      <c r="E42" s="14" t="str">
        <f>if(countifs(DATABASE!I:I,"Bảo trì",DATABASE!E:E,C42,DATABASE!A:A,"&gt;01/03/2021",DATABASE!A:A,"&lt;01/09/2021")&gt;=1,"Đã bảo trì","")</f>
        <v/>
      </c>
      <c r="F42" s="14" t="str">
        <f>if(countifs(DATABASE!I:I,"Bảo trì",DATABASE!E:E,C42,DATABASE!A:A,"&gt;01/09/2021",DATABASE!A:A,"&lt;01/03/2022")&gt;=1,"Đã bảo trì","")</f>
        <v/>
      </c>
      <c r="G42" s="14">
        <f>countifs(DATABASE!E:E,C42)</f>
        <v>1</v>
      </c>
    </row>
    <row r="43">
      <c r="A43" s="15">
        <v>39.0</v>
      </c>
      <c r="B43" s="16">
        <v>8.0034002E7</v>
      </c>
      <c r="C43" s="16" t="s">
        <v>86</v>
      </c>
      <c r="D43" s="17" t="s">
        <v>87</v>
      </c>
      <c r="E43" s="14" t="str">
        <f>if(countifs(DATABASE!I:I,"Bảo trì",DATABASE!E:E,C43,DATABASE!A:A,"&gt;01/03/2021",DATABASE!A:A,"&lt;01/09/2021")&gt;=1,"Đã bảo trì","")</f>
        <v/>
      </c>
      <c r="F43" s="14" t="str">
        <f>if(countifs(DATABASE!I:I,"Bảo trì",DATABASE!E:E,C43,DATABASE!A:A,"&gt;01/09/2021",DATABASE!A:A,"&lt;01/03/2022")&gt;=1,"Đã bảo trì","")</f>
        <v/>
      </c>
      <c r="G43" s="14">
        <f>countifs(DATABASE!E:E,C43)</f>
        <v>0</v>
      </c>
    </row>
    <row r="44">
      <c r="A44" s="15">
        <v>40.0</v>
      </c>
      <c r="B44" s="16">
        <v>8.0034004E7</v>
      </c>
      <c r="C44" s="16" t="s">
        <v>88</v>
      </c>
      <c r="D44" s="17" t="s">
        <v>89</v>
      </c>
      <c r="E44" s="14" t="str">
        <f>if(countifs(DATABASE!I:I,"Bảo trì",DATABASE!E:E,C44,DATABASE!A:A,"&gt;01/03/2021",DATABASE!A:A,"&lt;01/09/2021")&gt;=1,"Đã bảo trì","")</f>
        <v/>
      </c>
      <c r="F44" s="14" t="str">
        <f>if(countifs(DATABASE!I:I,"Bảo trì",DATABASE!E:E,C44,DATABASE!A:A,"&gt;01/09/2021",DATABASE!A:A,"&lt;01/03/2022")&gt;=1,"Đã bảo trì","")</f>
        <v/>
      </c>
      <c r="G44" s="14">
        <f>countifs(DATABASE!E:E,C44)</f>
        <v>0</v>
      </c>
    </row>
    <row r="45">
      <c r="A45" s="15">
        <v>41.0</v>
      </c>
      <c r="B45" s="16">
        <v>8.0034201E7</v>
      </c>
      <c r="C45" s="16" t="s">
        <v>90</v>
      </c>
      <c r="D45" s="17" t="s">
        <v>91</v>
      </c>
      <c r="E45" s="14" t="str">
        <f>if(countifs(DATABASE!I:I,"Bảo trì",DATABASE!E:E,C45,DATABASE!A:A,"&gt;01/03/2021",DATABASE!A:A,"&lt;01/09/2021")&gt;=1,"Đã bảo trì","")</f>
        <v/>
      </c>
      <c r="F45" s="14" t="str">
        <f>if(countifs(DATABASE!I:I,"Bảo trì",DATABASE!E:E,C45,DATABASE!A:A,"&gt;01/09/2021",DATABASE!A:A,"&lt;01/03/2022")&gt;=1,"Đã bảo trì","")</f>
        <v/>
      </c>
      <c r="G45" s="14">
        <f>countifs(DATABASE!E:E,C45)</f>
        <v>0</v>
      </c>
    </row>
    <row r="46">
      <c r="A46" s="15">
        <v>42.0</v>
      </c>
      <c r="B46" s="16">
        <v>8.0009009E7</v>
      </c>
      <c r="C46" s="16" t="s">
        <v>92</v>
      </c>
      <c r="D46" s="17" t="s">
        <v>93</v>
      </c>
      <c r="E46" s="14" t="str">
        <f>if(countifs(DATABASE!I:I,"Bảo trì",DATABASE!E:E,C46,DATABASE!A:A,"&gt;01/03/2021",DATABASE!A:A,"&lt;01/09/2021")&gt;=1,"Đã bảo trì","")</f>
        <v>Đã bảo trì</v>
      </c>
      <c r="F46" s="14" t="str">
        <f>if(countifs(DATABASE!I:I,"Bảo trì",DATABASE!E:E,C46,DATABASE!A:A,"&gt;01/09/2021",DATABASE!A:A,"&lt;01/03/2022")&gt;=1,"Đã bảo trì","")</f>
        <v/>
      </c>
      <c r="G46" s="14">
        <f>countifs(DATABASE!E:E,C46)</f>
        <v>1</v>
      </c>
    </row>
    <row r="47">
      <c r="A47" s="15">
        <v>43.0</v>
      </c>
      <c r="B47" s="16">
        <v>8.0083015E7</v>
      </c>
      <c r="C47" s="16" t="s">
        <v>94</v>
      </c>
      <c r="D47" s="17" t="s">
        <v>95</v>
      </c>
      <c r="E47" s="14" t="str">
        <f>if(countifs(DATABASE!I:I,"Bảo trì",DATABASE!E:E,C47,DATABASE!A:A,"&gt;01/03/2021",DATABASE!A:A,"&lt;01/09/2021")&gt;=1,"Đã bảo trì","")</f>
        <v/>
      </c>
      <c r="F47" s="14" t="str">
        <f>if(countifs(DATABASE!I:I,"Bảo trì",DATABASE!E:E,C47,DATABASE!A:A,"&gt;01/09/2021",DATABASE!A:A,"&lt;01/03/2022")&gt;=1,"Đã bảo trì","")</f>
        <v/>
      </c>
      <c r="G47" s="14">
        <f>countifs(DATABASE!E:E,C47)</f>
        <v>0</v>
      </c>
    </row>
    <row r="48">
      <c r="A48" s="15">
        <v>44.0</v>
      </c>
      <c r="B48" s="16">
        <v>8.0026313E7</v>
      </c>
      <c r="C48" s="16" t="s">
        <v>96</v>
      </c>
      <c r="D48" s="17" t="s">
        <v>97</v>
      </c>
      <c r="E48" s="14" t="str">
        <f>if(countifs(DATABASE!I:I,"Bảo trì",DATABASE!E:E,C48,DATABASE!A:A,"&gt;01/03/2021",DATABASE!A:A,"&lt;01/09/2021")&gt;=1,"Đã bảo trì","")</f>
        <v/>
      </c>
      <c r="F48" s="14" t="str">
        <f>if(countifs(DATABASE!I:I,"Bảo trì",DATABASE!E:E,C48,DATABASE!A:A,"&gt;01/09/2021",DATABASE!A:A,"&lt;01/03/2022")&gt;=1,"Đã bảo trì","")</f>
        <v/>
      </c>
      <c r="G48" s="14">
        <f>countifs(DATABASE!E:E,C48)</f>
        <v>0</v>
      </c>
    </row>
    <row r="49">
      <c r="A49" s="15">
        <v>45.0</v>
      </c>
      <c r="B49" s="16">
        <v>8.0030502E7</v>
      </c>
      <c r="C49" s="16" t="s">
        <v>98</v>
      </c>
      <c r="D49" s="17" t="s">
        <v>99</v>
      </c>
      <c r="E49" s="14" t="str">
        <f>if(countifs(DATABASE!I:I,"Bảo trì",DATABASE!E:E,C49,DATABASE!A:A,"&gt;01/03/2021",DATABASE!A:A,"&lt;01/09/2021")&gt;=1,"Đã bảo trì","")</f>
        <v/>
      </c>
      <c r="F49" s="14" t="str">
        <f>if(countifs(DATABASE!I:I,"Bảo trì",DATABASE!E:E,C49,DATABASE!A:A,"&gt;01/09/2021",DATABASE!A:A,"&lt;01/03/2022")&gt;=1,"Đã bảo trì","")</f>
        <v/>
      </c>
      <c r="G49" s="14">
        <f>countifs(DATABASE!E:E,C49)</f>
        <v>0</v>
      </c>
    </row>
    <row r="50">
      <c r="A50" s="15">
        <v>46.0</v>
      </c>
      <c r="B50" s="16">
        <v>8.0073702E7</v>
      </c>
      <c r="C50" s="16" t="s">
        <v>100</v>
      </c>
      <c r="D50" s="17" t="s">
        <v>101</v>
      </c>
      <c r="E50" s="14" t="str">
        <f>if(countifs(DATABASE!I:I,"Bảo trì",DATABASE!E:E,C50,DATABASE!A:A,"&gt;01/03/2021",DATABASE!A:A,"&lt;01/09/2021")&gt;=1,"Đã bảo trì","")</f>
        <v/>
      </c>
      <c r="F50" s="14" t="str">
        <f>if(countifs(DATABASE!I:I,"Bảo trì",DATABASE!E:E,C50,DATABASE!A:A,"&gt;01/09/2021",DATABASE!A:A,"&lt;01/03/2022")&gt;=1,"Đã bảo trì","")</f>
        <v/>
      </c>
      <c r="G50" s="14">
        <f>countifs(DATABASE!E:E,C50)</f>
        <v>0</v>
      </c>
    </row>
    <row r="51">
      <c r="A51" s="15">
        <v>47.0</v>
      </c>
      <c r="B51" s="16">
        <v>8.0082401E7</v>
      </c>
      <c r="C51" s="16" t="s">
        <v>102</v>
      </c>
      <c r="D51" s="17" t="s">
        <v>103</v>
      </c>
      <c r="E51" s="14" t="str">
        <f>if(countifs(DATABASE!I:I,"Bảo trì",DATABASE!E:E,C51,DATABASE!A:A,"&gt;01/03/2021",DATABASE!A:A,"&lt;01/09/2021")&gt;=1,"Đã bảo trì","")</f>
        <v/>
      </c>
      <c r="F51" s="14" t="str">
        <f>if(countifs(DATABASE!I:I,"Bảo trì",DATABASE!E:E,C51,DATABASE!A:A,"&gt;01/09/2021",DATABASE!A:A,"&lt;01/03/2022")&gt;=1,"Đã bảo trì","")</f>
        <v/>
      </c>
      <c r="G51" s="14">
        <f>countifs(DATABASE!E:E,C51)</f>
        <v>1</v>
      </c>
    </row>
    <row r="52">
      <c r="A52" s="15">
        <v>48.0</v>
      </c>
      <c r="B52" s="16">
        <v>8.0084201E7</v>
      </c>
      <c r="C52" s="16" t="s">
        <v>104</v>
      </c>
      <c r="D52" s="17" t="s">
        <v>105</v>
      </c>
      <c r="E52" s="14" t="str">
        <f>if(countifs(DATABASE!I:I,"Bảo trì",DATABASE!E:E,C52,DATABASE!A:A,"&gt;01/03/2021",DATABASE!A:A,"&lt;01/09/2021")&gt;=1,"Đã bảo trì","")</f>
        <v/>
      </c>
      <c r="F52" s="14" t="str">
        <f>if(countifs(DATABASE!I:I,"Bảo trì",DATABASE!E:E,C52,DATABASE!A:A,"&gt;01/09/2021",DATABASE!A:A,"&lt;01/03/2022")&gt;=1,"Đã bảo trì","")</f>
        <v/>
      </c>
      <c r="G52" s="14">
        <f>countifs(DATABASE!E:E,C52)</f>
        <v>2</v>
      </c>
    </row>
    <row r="53">
      <c r="A53" s="15">
        <v>49.0</v>
      </c>
      <c r="B53" s="16">
        <v>8.0084011E7</v>
      </c>
      <c r="C53" s="16" t="s">
        <v>106</v>
      </c>
      <c r="D53" s="17" t="s">
        <v>107</v>
      </c>
      <c r="E53" s="14" t="str">
        <f>if(countifs(DATABASE!I:I,"Bảo trì",DATABASE!E:E,C53,DATABASE!A:A,"&gt;01/03/2021",DATABASE!A:A,"&lt;01/09/2021")&gt;=1,"Đã bảo trì","")</f>
        <v/>
      </c>
      <c r="F53" s="14" t="str">
        <f>if(countifs(DATABASE!I:I,"Bảo trì",DATABASE!E:E,C53,DATABASE!A:A,"&gt;01/09/2021",DATABASE!A:A,"&lt;01/03/2022")&gt;=1,"Đã bảo trì","")</f>
        <v/>
      </c>
      <c r="G53" s="14">
        <f>countifs(DATABASE!E:E,C53)</f>
        <v>0</v>
      </c>
    </row>
    <row r="54">
      <c r="A54" s="15">
        <v>50.0</v>
      </c>
      <c r="B54" s="16">
        <v>8.0023302E7</v>
      </c>
      <c r="C54" s="16" t="s">
        <v>108</v>
      </c>
      <c r="D54" s="17" t="s">
        <v>109</v>
      </c>
      <c r="E54" s="14" t="str">
        <f>if(countifs(DATABASE!I:I,"Bảo trì",DATABASE!E:E,C54,DATABASE!A:A,"&gt;01/03/2021",DATABASE!A:A,"&lt;01/09/2021")&gt;=1,"Đã bảo trì","")</f>
        <v/>
      </c>
      <c r="F54" s="14" t="str">
        <f>if(countifs(DATABASE!I:I,"Bảo trì",DATABASE!E:E,C54,DATABASE!A:A,"&gt;01/09/2021",DATABASE!A:A,"&lt;01/03/2022")&gt;=1,"Đã bảo trì","")</f>
        <v/>
      </c>
      <c r="G54" s="14">
        <f>countifs(DATABASE!E:E,C54)</f>
        <v>1</v>
      </c>
    </row>
    <row r="55">
      <c r="A55" s="15">
        <v>51.0</v>
      </c>
      <c r="B55" s="16">
        <v>8.0035504E7</v>
      </c>
      <c r="C55" s="16" t="s">
        <v>110</v>
      </c>
      <c r="D55" s="17" t="s">
        <v>111</v>
      </c>
      <c r="E55" s="14" t="str">
        <f>if(countifs(DATABASE!I:I,"Bảo trì",DATABASE!E:E,C55,DATABASE!A:A,"&gt;01/03/2021",DATABASE!A:A,"&lt;01/09/2021")&gt;=1,"Đã bảo trì","")</f>
        <v/>
      </c>
      <c r="F55" s="14" t="str">
        <f>if(countifs(DATABASE!I:I,"Bảo trì",DATABASE!E:E,C55,DATABASE!A:A,"&gt;01/09/2021",DATABASE!A:A,"&lt;01/03/2022")&gt;=1,"Đã bảo trì","")</f>
        <v/>
      </c>
      <c r="G55" s="14">
        <f>countifs(DATABASE!E:E,C55)</f>
        <v>0</v>
      </c>
    </row>
    <row r="56">
      <c r="A56" s="15">
        <v>52.0</v>
      </c>
      <c r="B56" s="16">
        <v>8.0035501E7</v>
      </c>
      <c r="C56" s="16" t="s">
        <v>112</v>
      </c>
      <c r="D56" s="17" t="s">
        <v>113</v>
      </c>
      <c r="E56" s="14" t="str">
        <f>if(countifs(DATABASE!I:I,"Bảo trì",DATABASE!E:E,C56,DATABASE!A:A,"&gt;01/03/2021",DATABASE!A:A,"&lt;01/09/2021")&gt;=1,"Đã bảo trì","")</f>
        <v>Đã bảo trì</v>
      </c>
      <c r="F56" s="14" t="str">
        <f>if(countifs(DATABASE!I:I,"Bảo trì",DATABASE!E:E,C56,DATABASE!A:A,"&gt;01/09/2021",DATABASE!A:A,"&lt;01/03/2022")&gt;=1,"Đã bảo trì","")</f>
        <v/>
      </c>
      <c r="G56" s="14">
        <f>countifs(DATABASE!E:E,C56)</f>
        <v>1</v>
      </c>
    </row>
    <row r="57">
      <c r="A57" s="15">
        <v>53.0</v>
      </c>
      <c r="B57" s="16">
        <v>8.0033007E7</v>
      </c>
      <c r="C57" s="16" t="s">
        <v>114</v>
      </c>
      <c r="D57" s="17" t="s">
        <v>115</v>
      </c>
      <c r="E57" s="14" t="str">
        <f>if(countifs(DATABASE!I:I,"Bảo trì",DATABASE!E:E,C57,DATABASE!A:A,"&gt;01/03/2021",DATABASE!A:A,"&lt;01/09/2021")&gt;=1,"Đã bảo trì","")</f>
        <v/>
      </c>
      <c r="F57" s="14" t="str">
        <f>if(countifs(DATABASE!I:I,"Bảo trì",DATABASE!E:E,C57,DATABASE!A:A,"&gt;01/09/2021",DATABASE!A:A,"&lt;01/03/2022")&gt;=1,"Đã bảo trì","")</f>
        <v/>
      </c>
      <c r="G57" s="14">
        <f>countifs(DATABASE!E:E,C57)</f>
        <v>0</v>
      </c>
    </row>
    <row r="58">
      <c r="A58" s="15">
        <v>54.0</v>
      </c>
      <c r="B58" s="16">
        <v>8.005011E7</v>
      </c>
      <c r="C58" s="16" t="s">
        <v>116</v>
      </c>
      <c r="D58" s="17" t="s">
        <v>117</v>
      </c>
      <c r="E58" s="14" t="str">
        <f>if(countifs(DATABASE!I:I,"Bảo trì",DATABASE!E:E,C58,DATABASE!A:A,"&gt;01/03/2021",DATABASE!A:A,"&lt;01/09/2021")&gt;=1,"Đã bảo trì","")</f>
        <v/>
      </c>
      <c r="F58" s="14" t="str">
        <f>if(countifs(DATABASE!I:I,"Bảo trì",DATABASE!E:E,C58,DATABASE!A:A,"&gt;01/09/2021",DATABASE!A:A,"&lt;01/03/2022")&gt;=1,"Đã bảo trì","")</f>
        <v/>
      </c>
      <c r="G58" s="14">
        <f>countifs(DATABASE!E:E,C58)</f>
        <v>0</v>
      </c>
    </row>
    <row r="59">
      <c r="A59" s="15">
        <v>55.0</v>
      </c>
      <c r="B59" s="16">
        <v>8.0033401E7</v>
      </c>
      <c r="C59" s="16" t="s">
        <v>118</v>
      </c>
      <c r="D59" s="17" t="s">
        <v>119</v>
      </c>
      <c r="E59" s="14" t="str">
        <f>if(countifs(DATABASE!I:I,"Bảo trì",DATABASE!E:E,C59,DATABASE!A:A,"&gt;01/03/2021",DATABASE!A:A,"&lt;01/09/2021")&gt;=1,"Đã bảo trì","")</f>
        <v/>
      </c>
      <c r="F59" s="14" t="str">
        <f>if(countifs(DATABASE!I:I,"Bảo trì",DATABASE!E:E,C59,DATABASE!A:A,"&gt;01/09/2021",DATABASE!A:A,"&lt;01/03/2022")&gt;=1,"Đã bảo trì","")</f>
        <v/>
      </c>
      <c r="G59" s="14">
        <f>countifs(DATABASE!E:E,C59)</f>
        <v>0</v>
      </c>
    </row>
    <row r="60">
      <c r="A60" s="15">
        <v>56.0</v>
      </c>
      <c r="B60" s="16">
        <v>8.0027601E7</v>
      </c>
      <c r="C60" s="16" t="s">
        <v>120</v>
      </c>
      <c r="D60" s="17" t="s">
        <v>121</v>
      </c>
      <c r="E60" s="14" t="str">
        <f>if(countifs(DATABASE!I:I,"Bảo trì",DATABASE!E:E,C60,DATABASE!A:A,"&gt;01/03/2021",DATABASE!A:A,"&lt;01/09/2021")&gt;=1,"Đã bảo trì","")</f>
        <v/>
      </c>
      <c r="F60" s="14" t="str">
        <f>if(countifs(DATABASE!I:I,"Bảo trì",DATABASE!E:E,C60,DATABASE!A:A,"&gt;01/09/2021",DATABASE!A:A,"&lt;01/03/2022")&gt;=1,"Đã bảo trì","")</f>
        <v/>
      </c>
      <c r="G60" s="14">
        <f>countifs(DATABASE!E:E,C60)</f>
        <v>0</v>
      </c>
    </row>
    <row r="61">
      <c r="A61" s="15">
        <v>57.0</v>
      </c>
      <c r="B61" s="16">
        <v>8.0020801E7</v>
      </c>
      <c r="C61" s="16" t="s">
        <v>122</v>
      </c>
      <c r="D61" s="17" t="s">
        <v>123</v>
      </c>
      <c r="E61" s="14" t="str">
        <f>if(countifs(DATABASE!I:I,"Bảo trì",DATABASE!E:E,C61,DATABASE!A:A,"&gt;01/03/2021",DATABASE!A:A,"&lt;01/09/2021")&gt;=1,"Đã bảo trì","")</f>
        <v/>
      </c>
      <c r="F61" s="14" t="str">
        <f>if(countifs(DATABASE!I:I,"Bảo trì",DATABASE!E:E,C61,DATABASE!A:A,"&gt;01/09/2021",DATABASE!A:A,"&lt;01/03/2022")&gt;=1,"Đã bảo trì","")</f>
        <v/>
      </c>
      <c r="G61" s="14">
        <f>countifs(DATABASE!E:E,C61)</f>
        <v>0</v>
      </c>
    </row>
    <row r="62">
      <c r="A62" s="15">
        <v>58.0</v>
      </c>
      <c r="B62" s="16">
        <v>8.0073602E7</v>
      </c>
      <c r="C62" s="16" t="s">
        <v>124</v>
      </c>
      <c r="D62" s="17" t="s">
        <v>125</v>
      </c>
      <c r="E62" s="14" t="str">
        <f>if(countifs(DATABASE!I:I,"Bảo trì",DATABASE!E:E,C62,DATABASE!A:A,"&gt;01/03/2021",DATABASE!A:A,"&lt;01/09/2021")&gt;=1,"Đã bảo trì","")</f>
        <v/>
      </c>
      <c r="F62" s="14" t="str">
        <f>if(countifs(DATABASE!I:I,"Bảo trì",DATABASE!E:E,C62,DATABASE!A:A,"&gt;01/09/2021",DATABASE!A:A,"&lt;01/03/2022")&gt;=1,"Đã bảo trì","")</f>
        <v/>
      </c>
      <c r="G62" s="14">
        <f>countifs(DATABASE!E:E,C62)</f>
        <v>0</v>
      </c>
    </row>
    <row r="63">
      <c r="A63" s="15">
        <v>59.0</v>
      </c>
      <c r="B63" s="16">
        <v>8.0090001E7</v>
      </c>
      <c r="C63" s="16" t="s">
        <v>126</v>
      </c>
      <c r="D63" s="17" t="s">
        <v>127</v>
      </c>
      <c r="E63" s="14" t="str">
        <f>if(countifs(DATABASE!I:I,"Bảo trì",DATABASE!E:E,C63,DATABASE!A:A,"&gt;01/03/2021",DATABASE!A:A,"&lt;01/09/2021")&gt;=1,"Đã bảo trì","")</f>
        <v/>
      </c>
      <c r="F63" s="14" t="str">
        <f>if(countifs(DATABASE!I:I,"Bảo trì",DATABASE!E:E,C63,DATABASE!A:A,"&gt;01/09/2021",DATABASE!A:A,"&lt;01/03/2022")&gt;=1,"Đã bảo trì","")</f>
        <v/>
      </c>
      <c r="G63" s="14">
        <f>countifs(DATABASE!E:E,C63)</f>
        <v>0</v>
      </c>
    </row>
    <row r="64">
      <c r="A64" s="15">
        <v>60.0</v>
      </c>
      <c r="B64" s="16">
        <v>8.0074807E7</v>
      </c>
      <c r="C64" s="16" t="s">
        <v>128</v>
      </c>
      <c r="D64" s="17" t="s">
        <v>129</v>
      </c>
      <c r="E64" s="14" t="str">
        <f>if(countifs(DATABASE!I:I,"Bảo trì",DATABASE!E:E,C64,DATABASE!A:A,"&gt;01/03/2021",DATABASE!A:A,"&lt;01/09/2021")&gt;=1,"Đã bảo trì","")</f>
        <v/>
      </c>
      <c r="F64" s="14" t="str">
        <f>if(countifs(DATABASE!I:I,"Bảo trì",DATABASE!E:E,C64,DATABASE!A:A,"&gt;01/09/2021",DATABASE!A:A,"&lt;01/03/2022")&gt;=1,"Đã bảo trì","")</f>
        <v/>
      </c>
      <c r="G64" s="14">
        <f>countifs(DATABASE!E:E,C64)</f>
        <v>0</v>
      </c>
    </row>
    <row r="65">
      <c r="A65" s="15">
        <v>61.0</v>
      </c>
      <c r="B65" s="16">
        <v>8.0074506E7</v>
      </c>
      <c r="C65" s="16" t="s">
        <v>130</v>
      </c>
      <c r="D65" s="17" t="s">
        <v>131</v>
      </c>
      <c r="E65" s="14" t="str">
        <f>if(countifs(DATABASE!I:I,"Bảo trì",DATABASE!E:E,C65,DATABASE!A:A,"&gt;01/03/2021",DATABASE!A:A,"&lt;01/09/2021")&gt;=1,"Đã bảo trì","")</f>
        <v/>
      </c>
      <c r="F65" s="14" t="str">
        <f>if(countifs(DATABASE!I:I,"Bảo trì",DATABASE!E:E,C65,DATABASE!A:A,"&gt;01/09/2021",DATABASE!A:A,"&lt;01/03/2022")&gt;=1,"Đã bảo trì","")</f>
        <v/>
      </c>
      <c r="G65" s="14">
        <f>countifs(DATABASE!E:E,C65)</f>
        <v>0</v>
      </c>
    </row>
    <row r="66">
      <c r="A66" s="15">
        <v>62.0</v>
      </c>
      <c r="B66" s="16">
        <v>8.0074702E7</v>
      </c>
      <c r="C66" s="16" t="s">
        <v>132</v>
      </c>
      <c r="D66" s="17" t="s">
        <v>133</v>
      </c>
      <c r="E66" s="14" t="str">
        <f>if(countifs(DATABASE!I:I,"Bảo trì",DATABASE!E:E,C66,DATABASE!A:A,"&gt;01/03/2021",DATABASE!A:A,"&lt;01/09/2021")&gt;=1,"Đã bảo trì","")</f>
        <v/>
      </c>
      <c r="F66" s="14" t="str">
        <f>if(countifs(DATABASE!I:I,"Bảo trì",DATABASE!E:E,C66,DATABASE!A:A,"&gt;01/09/2021",DATABASE!A:A,"&lt;01/03/2022")&gt;=1,"Đã bảo trì","")</f>
        <v/>
      </c>
      <c r="G66" s="14">
        <f>countifs(DATABASE!E:E,C66)</f>
        <v>0</v>
      </c>
    </row>
    <row r="67">
      <c r="A67" s="15">
        <v>63.0</v>
      </c>
      <c r="B67" s="16">
        <v>8.0046108E7</v>
      </c>
      <c r="C67" s="16" t="s">
        <v>134</v>
      </c>
      <c r="D67" s="17" t="s">
        <v>135</v>
      </c>
      <c r="E67" s="14" t="str">
        <f>if(countifs(DATABASE!I:I,"Bảo trì",DATABASE!E:E,C67,DATABASE!A:A,"&gt;01/03/2021",DATABASE!A:A,"&lt;01/09/2021")&gt;=1,"Đã bảo trì","")</f>
        <v/>
      </c>
      <c r="F67" s="14" t="str">
        <f>if(countifs(DATABASE!I:I,"Bảo trì",DATABASE!E:E,C67,DATABASE!A:A,"&gt;01/09/2021",DATABASE!A:A,"&lt;01/03/2022")&gt;=1,"Đã bảo trì","")</f>
        <v/>
      </c>
      <c r="G67" s="14">
        <f>countifs(DATABASE!E:E,C67)</f>
        <v>0</v>
      </c>
    </row>
    <row r="68">
      <c r="A68" s="15">
        <v>64.0</v>
      </c>
      <c r="B68" s="16">
        <v>8.0026901E7</v>
      </c>
      <c r="C68" s="16" t="s">
        <v>136</v>
      </c>
      <c r="D68" s="17" t="s">
        <v>137</v>
      </c>
      <c r="E68" s="14" t="str">
        <f>if(countifs(DATABASE!I:I,"Bảo trì",DATABASE!E:E,C68,DATABASE!A:A,"&gt;01/03/2021",DATABASE!A:A,"&lt;01/09/2021")&gt;=1,"Đã bảo trì","")</f>
        <v/>
      </c>
      <c r="F68" s="14" t="str">
        <f>if(countifs(DATABASE!I:I,"Bảo trì",DATABASE!E:E,C68,DATABASE!A:A,"&gt;01/09/2021",DATABASE!A:A,"&lt;01/03/2022")&gt;=1,"Đã bảo trì","")</f>
        <v/>
      </c>
      <c r="G68" s="14">
        <f>countifs(DATABASE!E:E,C68)</f>
        <v>0</v>
      </c>
    </row>
    <row r="69">
      <c r="A69" s="15">
        <v>65.0</v>
      </c>
      <c r="B69" s="16">
        <v>8.0091001E7</v>
      </c>
      <c r="C69" s="16" t="s">
        <v>138</v>
      </c>
      <c r="D69" s="17" t="s">
        <v>139</v>
      </c>
      <c r="E69" s="14" t="str">
        <f>if(countifs(DATABASE!I:I,"Bảo trì",DATABASE!E:E,C69,DATABASE!A:A,"&gt;01/03/2021",DATABASE!A:A,"&lt;01/09/2021")&gt;=1,"Đã bảo trì","")</f>
        <v/>
      </c>
      <c r="F69" s="14" t="str">
        <f>if(countifs(DATABASE!I:I,"Bảo trì",DATABASE!E:E,C69,DATABASE!A:A,"&gt;01/09/2021",DATABASE!A:A,"&lt;01/03/2022")&gt;=1,"Đã bảo trì","")</f>
        <v/>
      </c>
      <c r="G69" s="14">
        <f>countifs(DATABASE!E:E,C69)</f>
        <v>0</v>
      </c>
    </row>
    <row r="70">
      <c r="A70" s="15">
        <v>66.0</v>
      </c>
      <c r="B70" s="16">
        <v>8.0076112E7</v>
      </c>
      <c r="C70" s="16" t="s">
        <v>140</v>
      </c>
      <c r="D70" s="17" t="s">
        <v>141</v>
      </c>
      <c r="E70" s="14" t="str">
        <f>if(countifs(DATABASE!I:I,"Bảo trì",DATABASE!E:E,C70,DATABASE!A:A,"&gt;01/03/2021",DATABASE!A:A,"&lt;01/09/2021")&gt;=1,"Đã bảo trì","")</f>
        <v/>
      </c>
      <c r="F70" s="14" t="str">
        <f>if(countifs(DATABASE!I:I,"Bảo trì",DATABASE!E:E,C70,DATABASE!A:A,"&gt;01/09/2021",DATABASE!A:A,"&lt;01/03/2022")&gt;=1,"Đã bảo trì","")</f>
        <v/>
      </c>
      <c r="G70" s="14">
        <f>countifs(DATABASE!E:E,C70)</f>
        <v>0</v>
      </c>
    </row>
    <row r="71">
      <c r="A71" s="15">
        <v>67.0</v>
      </c>
      <c r="B71" s="16">
        <v>8.0027502E7</v>
      </c>
      <c r="C71" s="16" t="s">
        <v>142</v>
      </c>
      <c r="D71" s="17" t="s">
        <v>143</v>
      </c>
      <c r="E71" s="14" t="str">
        <f>if(countifs(DATABASE!I:I,"Bảo trì",DATABASE!E:E,C71,DATABASE!A:A,"&gt;01/03/2021",DATABASE!A:A,"&lt;01/09/2021")&gt;=1,"Đã bảo trì","")</f>
        <v/>
      </c>
      <c r="F71" s="14" t="str">
        <f>if(countifs(DATABASE!I:I,"Bảo trì",DATABASE!E:E,C71,DATABASE!A:A,"&gt;01/09/2021",DATABASE!A:A,"&lt;01/03/2022")&gt;=1,"Đã bảo trì","")</f>
        <v/>
      </c>
      <c r="G71" s="14">
        <f>countifs(DATABASE!E:E,C71)</f>
        <v>0</v>
      </c>
    </row>
    <row r="72">
      <c r="A72" s="15">
        <v>68.0</v>
      </c>
      <c r="B72" s="16">
        <v>8.0016101E7</v>
      </c>
      <c r="C72" s="16" t="s">
        <v>144</v>
      </c>
      <c r="D72" s="17" t="s">
        <v>145</v>
      </c>
      <c r="E72" s="14" t="str">
        <f>if(countifs(DATABASE!I:I,"Bảo trì",DATABASE!E:E,C72,DATABASE!A:A,"&gt;01/03/2021",DATABASE!A:A,"&lt;01/09/2021")&gt;=1,"Đã bảo trì","")</f>
        <v/>
      </c>
      <c r="F72" s="14" t="str">
        <f>if(countifs(DATABASE!I:I,"Bảo trì",DATABASE!E:E,C72,DATABASE!A:A,"&gt;01/09/2021",DATABASE!A:A,"&lt;01/03/2022")&gt;=1,"Đã bảo trì","")</f>
        <v/>
      </c>
      <c r="G72" s="14">
        <f>countifs(DATABASE!E:E,C72)</f>
        <v>0</v>
      </c>
    </row>
    <row r="73">
      <c r="A73" s="15">
        <v>69.0</v>
      </c>
      <c r="B73" s="16">
        <v>8.0072708E7</v>
      </c>
      <c r="C73" s="16" t="s">
        <v>146</v>
      </c>
      <c r="D73" s="17" t="s">
        <v>147</v>
      </c>
      <c r="E73" s="14" t="str">
        <f>if(countifs(DATABASE!I:I,"Bảo trì",DATABASE!E:E,C73,DATABASE!A:A,"&gt;01/03/2021",DATABASE!A:A,"&lt;01/09/2021")&gt;=1,"Đã bảo trì","")</f>
        <v/>
      </c>
      <c r="F73" s="14" t="str">
        <f>if(countifs(DATABASE!I:I,"Bảo trì",DATABASE!E:E,C73,DATABASE!A:A,"&gt;01/09/2021",DATABASE!A:A,"&lt;01/03/2022")&gt;=1,"Đã bảo trì","")</f>
        <v/>
      </c>
      <c r="G73" s="14">
        <f>countifs(DATABASE!E:E,C73)</f>
        <v>0</v>
      </c>
    </row>
    <row r="74">
      <c r="A74" s="15">
        <v>70.0</v>
      </c>
      <c r="B74" s="16">
        <v>8.0000902E7</v>
      </c>
      <c r="C74" s="16" t="s">
        <v>148</v>
      </c>
      <c r="D74" s="17" t="s">
        <v>149</v>
      </c>
      <c r="E74" s="14" t="str">
        <f>if(countifs(DATABASE!I:I,"Bảo trì",DATABASE!E:E,C74,DATABASE!A:A,"&gt;01/03/2021",DATABASE!A:A,"&lt;01/09/2021")&gt;=1,"Đã bảo trì","")</f>
        <v>Đã bảo trì</v>
      </c>
      <c r="F74" s="14" t="str">
        <f>if(countifs(DATABASE!I:I,"Bảo trì",DATABASE!E:E,C74,DATABASE!A:A,"&gt;01/09/2021",DATABASE!A:A,"&lt;01/03/2022")&gt;=1,"Đã bảo trì","")</f>
        <v/>
      </c>
      <c r="G74" s="14">
        <f>countifs(DATABASE!E:E,C74)</f>
        <v>4</v>
      </c>
    </row>
    <row r="75">
      <c r="A75" s="15">
        <v>71.0</v>
      </c>
      <c r="B75" s="16">
        <v>8.0088209E7</v>
      </c>
      <c r="C75" s="16" t="s">
        <v>150</v>
      </c>
      <c r="D75" s="17" t="s">
        <v>151</v>
      </c>
      <c r="E75" s="14" t="str">
        <f>if(countifs(DATABASE!I:I,"Bảo trì",DATABASE!E:E,C75,DATABASE!A:A,"&gt;01/03/2021",DATABASE!A:A,"&lt;01/09/2021")&gt;=1,"Đã bảo trì","")</f>
        <v/>
      </c>
      <c r="F75" s="14" t="str">
        <f>if(countifs(DATABASE!I:I,"Bảo trì",DATABASE!E:E,C75,DATABASE!A:A,"&gt;01/09/2021",DATABASE!A:A,"&lt;01/03/2022")&gt;=1,"Đã bảo trì","")</f>
        <v/>
      </c>
      <c r="G75" s="14">
        <f>countifs(DATABASE!E:E,C75)</f>
        <v>0</v>
      </c>
    </row>
    <row r="76">
      <c r="A76" s="15">
        <v>72.0</v>
      </c>
      <c r="B76" s="16">
        <v>8.000311E7</v>
      </c>
      <c r="C76" s="16" t="s">
        <v>152</v>
      </c>
      <c r="D76" s="17" t="s">
        <v>153</v>
      </c>
      <c r="E76" s="14" t="str">
        <f>if(countifs(DATABASE!I:I,"Bảo trì",DATABASE!E:E,C76,DATABASE!A:A,"&gt;01/03/2021",DATABASE!A:A,"&lt;01/09/2021")&gt;=1,"Đã bảo trì","")</f>
        <v/>
      </c>
      <c r="F76" s="14" t="str">
        <f>if(countifs(DATABASE!I:I,"Bảo trì",DATABASE!E:E,C76,DATABASE!A:A,"&gt;01/09/2021",DATABASE!A:A,"&lt;01/03/2022")&gt;=1,"Đã bảo trì","")</f>
        <v/>
      </c>
      <c r="G76" s="14">
        <f>countifs(DATABASE!E:E,C76)</f>
        <v>0</v>
      </c>
    </row>
    <row r="77">
      <c r="A77" s="15">
        <v>73.0</v>
      </c>
      <c r="B77" s="16">
        <v>8.0072709E7</v>
      </c>
      <c r="C77" s="16" t="s">
        <v>154</v>
      </c>
      <c r="D77" s="17" t="s">
        <v>155</v>
      </c>
      <c r="E77" s="14" t="str">
        <f>if(countifs(DATABASE!I:I,"Bảo trì",DATABASE!E:E,C77,DATABASE!A:A,"&gt;01/03/2021",DATABASE!A:A,"&lt;01/09/2021")&gt;=1,"Đã bảo trì","")</f>
        <v/>
      </c>
      <c r="F77" s="14" t="str">
        <f>if(countifs(DATABASE!I:I,"Bảo trì",DATABASE!E:E,C77,DATABASE!A:A,"&gt;01/09/2021",DATABASE!A:A,"&lt;01/03/2022")&gt;=1,"Đã bảo trì","")</f>
        <v/>
      </c>
      <c r="G77" s="14">
        <f>countifs(DATABASE!E:E,C77)</f>
        <v>0</v>
      </c>
    </row>
    <row r="78">
      <c r="A78" s="15">
        <v>74.0</v>
      </c>
      <c r="B78" s="16">
        <v>8.0045115E7</v>
      </c>
      <c r="C78" s="16" t="s">
        <v>156</v>
      </c>
      <c r="D78" s="17" t="s">
        <v>157</v>
      </c>
      <c r="E78" s="14" t="str">
        <f>if(countifs(DATABASE!I:I,"Bảo trì",DATABASE!E:E,C78,DATABASE!A:A,"&gt;01/03/2021",DATABASE!A:A,"&lt;01/09/2021")&gt;=1,"Đã bảo trì","")</f>
        <v/>
      </c>
      <c r="F78" s="14" t="str">
        <f>if(countifs(DATABASE!I:I,"Bảo trì",DATABASE!E:E,C78,DATABASE!A:A,"&gt;01/09/2021",DATABASE!A:A,"&lt;01/03/2022")&gt;=1,"Đã bảo trì","")</f>
        <v/>
      </c>
      <c r="G78" s="14">
        <f>countifs(DATABASE!E:E,C78)</f>
        <v>0</v>
      </c>
    </row>
    <row r="79">
      <c r="A79" s="15">
        <v>75.0</v>
      </c>
      <c r="B79" s="16">
        <v>8.0045116E7</v>
      </c>
      <c r="C79" s="16" t="s">
        <v>158</v>
      </c>
      <c r="D79" s="17" t="s">
        <v>159</v>
      </c>
      <c r="E79" s="14" t="str">
        <f>if(countifs(DATABASE!I:I,"Bảo trì",DATABASE!E:E,C79,DATABASE!A:A,"&gt;01/03/2021",DATABASE!A:A,"&lt;01/09/2021")&gt;=1,"Đã bảo trì","")</f>
        <v/>
      </c>
      <c r="F79" s="14" t="str">
        <f>if(countifs(DATABASE!I:I,"Bảo trì",DATABASE!E:E,C79,DATABASE!A:A,"&gt;01/09/2021",DATABASE!A:A,"&lt;01/03/2022")&gt;=1,"Đã bảo trì","")</f>
        <v/>
      </c>
      <c r="G79" s="14">
        <f>countifs(DATABASE!E:E,C79)</f>
        <v>0</v>
      </c>
      <c r="H79" s="18"/>
    </row>
    <row r="80">
      <c r="A80" s="15">
        <v>76.0</v>
      </c>
      <c r="B80" s="16">
        <v>8.008302E7</v>
      </c>
      <c r="C80" s="16" t="s">
        <v>160</v>
      </c>
      <c r="D80" s="17" t="s">
        <v>161</v>
      </c>
      <c r="E80" s="14" t="str">
        <f>if(countifs(DATABASE!I:I,"Bảo trì",DATABASE!E:E,C80,DATABASE!A:A,"&gt;01/03/2021",DATABASE!A:A,"&lt;01/09/2021")&gt;=1,"Đã bảo trì","")</f>
        <v/>
      </c>
      <c r="F80" s="14" t="str">
        <f>if(countifs(DATABASE!I:I,"Bảo trì",DATABASE!E:E,C80,DATABASE!A:A,"&gt;01/09/2021",DATABASE!A:A,"&lt;01/03/2022")&gt;=1,"Đã bảo trì","")</f>
        <v/>
      </c>
      <c r="G80" s="14">
        <f>countifs(DATABASE!E:E,C80)</f>
        <v>1</v>
      </c>
    </row>
    <row r="81">
      <c r="A81" s="15">
        <v>77.0</v>
      </c>
      <c r="B81" s="16">
        <v>8.0050408E7</v>
      </c>
      <c r="C81" s="16" t="s">
        <v>162</v>
      </c>
      <c r="D81" s="17" t="s">
        <v>163</v>
      </c>
      <c r="E81" s="14" t="str">
        <f>if(countifs(DATABASE!I:I,"Bảo trì",DATABASE!E:E,C81,DATABASE!A:A,"&gt;01/03/2021",DATABASE!A:A,"&lt;01/09/2021")&gt;=1,"Đã bảo trì","")</f>
        <v/>
      </c>
      <c r="F81" s="14" t="str">
        <f>if(countifs(DATABASE!I:I,"Bảo trì",DATABASE!E:E,C81,DATABASE!A:A,"&gt;01/09/2021",DATABASE!A:A,"&lt;01/03/2022")&gt;=1,"Đã bảo trì","")</f>
        <v/>
      </c>
      <c r="G81" s="14">
        <f>countifs(DATABASE!E:E,C81)</f>
        <v>0</v>
      </c>
    </row>
    <row r="82">
      <c r="A82" s="15">
        <v>78.0</v>
      </c>
      <c r="B82" s="16">
        <v>8.0005315E7</v>
      </c>
      <c r="C82" s="16" t="s">
        <v>164</v>
      </c>
      <c r="D82" s="17" t="s">
        <v>165</v>
      </c>
      <c r="E82" s="14" t="str">
        <f>if(countifs(DATABASE!I:I,"Bảo trì",DATABASE!E:E,C82,DATABASE!A:A,"&gt;01/03/2021",DATABASE!A:A,"&lt;01/09/2021")&gt;=1,"Đã bảo trì","")</f>
        <v/>
      </c>
      <c r="F82" s="14" t="str">
        <f>if(countifs(DATABASE!I:I,"Bảo trì",DATABASE!E:E,C82,DATABASE!A:A,"&gt;01/09/2021",DATABASE!A:A,"&lt;01/03/2022")&gt;=1,"Đã bảo trì","")</f>
        <v/>
      </c>
      <c r="G82" s="14">
        <f>countifs(DATABASE!E:E,C82)</f>
        <v>0</v>
      </c>
    </row>
    <row r="83">
      <c r="A83" s="15">
        <v>79.0</v>
      </c>
      <c r="B83" s="16">
        <v>8.0084012E7</v>
      </c>
      <c r="C83" s="16" t="s">
        <v>166</v>
      </c>
      <c r="D83" s="17" t="s">
        <v>167</v>
      </c>
      <c r="E83" s="14" t="str">
        <f>if(countifs(DATABASE!I:I,"Bảo trì",DATABASE!E:E,C83,DATABASE!A:A,"&gt;01/03/2021",DATABASE!A:A,"&lt;01/09/2021")&gt;=1,"Đã bảo trì","")</f>
        <v>Đã bảo trì</v>
      </c>
      <c r="F83" s="14" t="str">
        <f>if(countifs(DATABASE!I:I,"Bảo trì",DATABASE!E:E,C83,DATABASE!A:A,"&gt;01/09/2021",DATABASE!A:A,"&lt;01/03/2022")&gt;=1,"Đã bảo trì","")</f>
        <v/>
      </c>
      <c r="G83" s="14">
        <f>countifs(DATABASE!E:E,C83)</f>
        <v>1</v>
      </c>
    </row>
    <row r="84">
      <c r="A84" s="15">
        <v>80.0</v>
      </c>
      <c r="B84" s="16">
        <v>8.0006507E7</v>
      </c>
      <c r="C84" s="16" t="s">
        <v>168</v>
      </c>
      <c r="D84" s="17" t="s">
        <v>169</v>
      </c>
      <c r="E84" s="14" t="str">
        <f>if(countifs(DATABASE!I:I,"Bảo trì",DATABASE!E:E,C84,DATABASE!A:A,"&gt;01/03/2021",DATABASE!A:A,"&lt;01/09/2021")&gt;=1,"Đã bảo trì","")</f>
        <v/>
      </c>
      <c r="F84" s="14" t="str">
        <f>if(countifs(DATABASE!I:I,"Bảo trì",DATABASE!E:E,C84,DATABASE!A:A,"&gt;01/09/2021",DATABASE!A:A,"&lt;01/03/2022")&gt;=1,"Đã bảo trì","")</f>
        <v/>
      </c>
      <c r="G84" s="14">
        <f>countifs(DATABASE!E:E,C84)</f>
        <v>0</v>
      </c>
    </row>
    <row r="85">
      <c r="A85" s="15">
        <v>81.0</v>
      </c>
      <c r="B85" s="16">
        <v>8.0083023E7</v>
      </c>
      <c r="C85" s="16" t="s">
        <v>170</v>
      </c>
      <c r="D85" s="17" t="s">
        <v>171</v>
      </c>
      <c r="E85" s="14" t="str">
        <f>if(countifs(DATABASE!I:I,"Bảo trì",DATABASE!E:E,C85,DATABASE!A:A,"&gt;01/03/2021",DATABASE!A:A,"&lt;01/09/2021")&gt;=1,"Đã bảo trì","")</f>
        <v/>
      </c>
      <c r="F85" s="14" t="str">
        <f>if(countifs(DATABASE!I:I,"Bảo trì",DATABASE!E:E,C85,DATABASE!A:A,"&gt;01/09/2021",DATABASE!A:A,"&lt;01/03/2022")&gt;=1,"Đã bảo trì","")</f>
        <v/>
      </c>
      <c r="G85" s="14">
        <f>countifs(DATABASE!E:E,C85)</f>
        <v>0</v>
      </c>
    </row>
    <row r="86">
      <c r="A86" s="15">
        <v>82.0</v>
      </c>
      <c r="B86" s="16">
        <v>8.0076113E7</v>
      </c>
      <c r="C86" s="16" t="s">
        <v>172</v>
      </c>
      <c r="D86" s="17" t="s">
        <v>173</v>
      </c>
      <c r="E86" s="14" t="str">
        <f>if(countifs(DATABASE!I:I,"Bảo trì",DATABASE!E:E,C86,DATABASE!A:A,"&gt;01/03/2021",DATABASE!A:A,"&lt;01/09/2021")&gt;=1,"Đã bảo trì","")</f>
        <v/>
      </c>
      <c r="F86" s="14" t="str">
        <f>if(countifs(DATABASE!I:I,"Bảo trì",DATABASE!E:E,C86,DATABASE!A:A,"&gt;01/09/2021",DATABASE!A:A,"&lt;01/03/2022")&gt;=1,"Đã bảo trì","")</f>
        <v/>
      </c>
      <c r="G86" s="14">
        <f>countifs(DATABASE!E:E,C86)</f>
        <v>0</v>
      </c>
    </row>
    <row r="87">
      <c r="A87" s="15">
        <v>83.0</v>
      </c>
      <c r="B87" s="16">
        <v>8.0076114E7</v>
      </c>
      <c r="C87" s="16" t="s">
        <v>174</v>
      </c>
      <c r="D87" s="17" t="s">
        <v>175</v>
      </c>
      <c r="E87" s="14" t="str">
        <f>if(countifs(DATABASE!I:I,"Bảo trì",DATABASE!E:E,C87,DATABASE!A:A,"&gt;01/03/2021",DATABASE!A:A,"&lt;01/09/2021")&gt;=1,"Đã bảo trì","")</f>
        <v>Đã bảo trì</v>
      </c>
      <c r="F87" s="14" t="str">
        <f>if(countifs(DATABASE!I:I,"Bảo trì",DATABASE!E:E,C87,DATABASE!A:A,"&gt;01/09/2021",DATABASE!A:A,"&lt;01/03/2022")&gt;=1,"Đã bảo trì","")</f>
        <v/>
      </c>
      <c r="G87" s="14">
        <f>countifs(DATABASE!E:E,C87)</f>
        <v>1</v>
      </c>
    </row>
    <row r="88">
      <c r="A88" s="15">
        <v>84.0</v>
      </c>
      <c r="B88" s="16">
        <v>8.0027008E7</v>
      </c>
      <c r="C88" s="16" t="s">
        <v>176</v>
      </c>
      <c r="D88" s="17" t="s">
        <v>177</v>
      </c>
      <c r="E88" s="14" t="str">
        <f>if(countifs(DATABASE!I:I,"Bảo trì",DATABASE!E:E,C88,DATABASE!A:A,"&gt;01/03/2021",DATABASE!A:A,"&lt;01/09/2021")&gt;=1,"Đã bảo trì","")</f>
        <v/>
      </c>
      <c r="F88" s="14" t="str">
        <f>if(countifs(DATABASE!I:I,"Bảo trì",DATABASE!E:E,C88,DATABASE!A:A,"&gt;01/09/2021",DATABASE!A:A,"&lt;01/03/2022")&gt;=1,"Đã bảo trì","")</f>
        <v/>
      </c>
      <c r="G88" s="14">
        <f>countifs(DATABASE!E:E,C88)</f>
        <v>0</v>
      </c>
    </row>
    <row r="89">
      <c r="A89" s="15">
        <v>85.0</v>
      </c>
      <c r="B89" s="16">
        <v>8.0003606E7</v>
      </c>
      <c r="C89" s="16" t="s">
        <v>178</v>
      </c>
      <c r="D89" s="17" t="s">
        <v>179</v>
      </c>
      <c r="E89" s="14" t="str">
        <f>if(countifs(DATABASE!I:I,"Bảo trì",DATABASE!E:E,C89,DATABASE!A:A,"&gt;01/03/2021",DATABASE!A:A,"&lt;01/09/2021")&gt;=1,"Đã bảo trì","")</f>
        <v>Đã bảo trì</v>
      </c>
      <c r="F89" s="14" t="str">
        <f>if(countifs(DATABASE!I:I,"Bảo trì",DATABASE!E:E,C89,DATABASE!A:A,"&gt;01/09/2021",DATABASE!A:A,"&lt;01/03/2022")&gt;=1,"Đã bảo trì","")</f>
        <v/>
      </c>
      <c r="G89" s="14">
        <f>countifs(DATABASE!E:E,C89)</f>
        <v>1</v>
      </c>
    </row>
    <row r="90">
      <c r="A90" s="15">
        <v>86.0</v>
      </c>
      <c r="B90" s="16">
        <v>8.0077003E7</v>
      </c>
      <c r="C90" s="16" t="s">
        <v>180</v>
      </c>
      <c r="D90" s="17" t="s">
        <v>179</v>
      </c>
      <c r="E90" s="14" t="str">
        <f>if(countifs(DATABASE!I:I,"Bảo trì",DATABASE!E:E,C90,DATABASE!A:A,"&gt;01/03/2021",DATABASE!A:A,"&lt;01/09/2021")&gt;=1,"Đã bảo trì","")</f>
        <v/>
      </c>
      <c r="F90" s="14" t="str">
        <f>if(countifs(DATABASE!I:I,"Bảo trì",DATABASE!E:E,C90,DATABASE!A:A,"&gt;01/09/2021",DATABASE!A:A,"&lt;01/03/2022")&gt;=1,"Đã bảo trì","")</f>
        <v/>
      </c>
      <c r="G90" s="14">
        <f>countifs(DATABASE!E:E,C90)</f>
        <v>8</v>
      </c>
    </row>
    <row r="91">
      <c r="A91" s="15">
        <v>87.0</v>
      </c>
      <c r="B91" s="16">
        <v>8.0003201E7</v>
      </c>
      <c r="C91" s="16" t="s">
        <v>181</v>
      </c>
      <c r="D91" s="17" t="s">
        <v>182</v>
      </c>
      <c r="E91" s="14" t="str">
        <f>if(countifs(DATABASE!I:I,"Bảo trì",DATABASE!E:E,C91,DATABASE!A:A,"&gt;01/03/2021",DATABASE!A:A,"&lt;01/09/2021")&gt;=1,"Đã bảo trì","")</f>
        <v>Đã bảo trì</v>
      </c>
      <c r="F91" s="14" t="str">
        <f>if(countifs(DATABASE!I:I,"Bảo trì",DATABASE!E:E,C91,DATABASE!A:A,"&gt;01/09/2021",DATABASE!A:A,"&lt;01/03/2022")&gt;=1,"Đã bảo trì","")</f>
        <v/>
      </c>
      <c r="G91" s="14">
        <f>countifs(DATABASE!E:E,C91)</f>
        <v>3</v>
      </c>
    </row>
    <row r="92">
      <c r="A92" s="15">
        <v>88.0</v>
      </c>
      <c r="B92" s="16">
        <v>8.0051505E7</v>
      </c>
      <c r="C92" s="16" t="s">
        <v>183</v>
      </c>
      <c r="D92" s="17" t="s">
        <v>184</v>
      </c>
      <c r="E92" s="14" t="str">
        <f>if(countifs(DATABASE!I:I,"Bảo trì",DATABASE!E:E,C92,DATABASE!A:A,"&gt;01/03/2021",DATABASE!A:A,"&lt;01/09/2021")&gt;=1,"Đã bảo trì","")</f>
        <v/>
      </c>
      <c r="F92" s="14" t="str">
        <f>if(countifs(DATABASE!I:I,"Bảo trì",DATABASE!E:E,C92,DATABASE!A:A,"&gt;01/09/2021",DATABASE!A:A,"&lt;01/03/2022")&gt;=1,"Đã bảo trì","")</f>
        <v/>
      </c>
      <c r="G92" s="14">
        <f>countifs(DATABASE!E:E,C92)</f>
        <v>0</v>
      </c>
    </row>
    <row r="93">
      <c r="A93" s="15">
        <v>89.0</v>
      </c>
      <c r="B93" s="16">
        <v>8.0077506E7</v>
      </c>
      <c r="C93" s="16" t="s">
        <v>185</v>
      </c>
      <c r="D93" s="17" t="s">
        <v>186</v>
      </c>
      <c r="E93" s="14" t="str">
        <f>if(countifs(DATABASE!I:I,"Bảo trì",DATABASE!E:E,C93,DATABASE!A:A,"&gt;01/03/2021",DATABASE!A:A,"&lt;01/09/2021")&gt;=1,"Đã bảo trì","")</f>
        <v/>
      </c>
      <c r="F93" s="14" t="str">
        <f>if(countifs(DATABASE!I:I,"Bảo trì",DATABASE!E:E,C93,DATABASE!A:A,"&gt;01/09/2021",DATABASE!A:A,"&lt;01/03/2022")&gt;=1,"Đã bảo trì","")</f>
        <v/>
      </c>
      <c r="G93" s="14">
        <f>countifs(DATABASE!E:E,C93)</f>
        <v>0</v>
      </c>
    </row>
    <row r="94">
      <c r="A94" s="15">
        <v>90.0</v>
      </c>
      <c r="B94" s="16">
        <v>8.0077504E7</v>
      </c>
      <c r="C94" s="16" t="s">
        <v>187</v>
      </c>
      <c r="D94" s="17" t="s">
        <v>188</v>
      </c>
      <c r="E94" s="14" t="str">
        <f>if(countifs(DATABASE!I:I,"Bảo trì",DATABASE!E:E,C94,DATABASE!A:A,"&gt;01/03/2021",DATABASE!A:A,"&lt;01/09/2021")&gt;=1,"Đã bảo trì","")</f>
        <v>Đã bảo trì</v>
      </c>
      <c r="F94" s="14" t="str">
        <f>if(countifs(DATABASE!I:I,"Bảo trì",DATABASE!E:E,C94,DATABASE!A:A,"&gt;01/09/2021",DATABASE!A:A,"&lt;01/03/2022")&gt;=1,"Đã bảo trì","")</f>
        <v/>
      </c>
      <c r="G94" s="14">
        <f>countifs(DATABASE!E:E,C94)</f>
        <v>3</v>
      </c>
    </row>
    <row r="95">
      <c r="A95" s="15">
        <v>91.0</v>
      </c>
      <c r="B95" s="16">
        <v>8.0035803E7</v>
      </c>
      <c r="C95" s="16" t="s">
        <v>189</v>
      </c>
      <c r="D95" s="17" t="s">
        <v>190</v>
      </c>
      <c r="E95" s="14" t="str">
        <f>if(countifs(DATABASE!I:I,"Bảo trì",DATABASE!E:E,C95,DATABASE!A:A,"&gt;01/03/2021",DATABASE!A:A,"&lt;01/09/2021")&gt;=1,"Đã bảo trì","")</f>
        <v/>
      </c>
      <c r="F95" s="14" t="str">
        <f>if(countifs(DATABASE!I:I,"Bảo trì",DATABASE!E:E,C95,DATABASE!A:A,"&gt;01/09/2021",DATABASE!A:A,"&lt;01/03/2022")&gt;=1,"Đã bảo trì","")</f>
        <v/>
      </c>
      <c r="G95" s="14">
        <f>countifs(DATABASE!E:E,C95)</f>
        <v>0</v>
      </c>
    </row>
    <row r="96">
      <c r="A96" s="15">
        <v>92.0</v>
      </c>
      <c r="B96" s="16">
        <v>8.0092002E7</v>
      </c>
      <c r="C96" s="16" t="s">
        <v>191</v>
      </c>
      <c r="D96" s="17" t="s">
        <v>192</v>
      </c>
      <c r="E96" s="14" t="str">
        <f>if(countifs(DATABASE!I:I,"Bảo trì",DATABASE!E:E,C96,DATABASE!A:A,"&gt;01/03/2021",DATABASE!A:A,"&lt;01/09/2021")&gt;=1,"Đã bảo trì","")</f>
        <v>Đã bảo trì</v>
      </c>
      <c r="F96" s="14" t="str">
        <f>if(countifs(DATABASE!I:I,"Bảo trì",DATABASE!E:E,C96,DATABASE!A:A,"&gt;01/09/2021",DATABASE!A:A,"&lt;01/03/2022")&gt;=1,"Đã bảo trì","")</f>
        <v/>
      </c>
      <c r="G96" s="14">
        <f>countifs(DATABASE!E:E,C96)</f>
        <v>4</v>
      </c>
    </row>
    <row r="97">
      <c r="A97" s="15">
        <v>93.0</v>
      </c>
      <c r="B97" s="16">
        <v>8.0008101E7</v>
      </c>
      <c r="C97" s="16" t="s">
        <v>193</v>
      </c>
      <c r="D97" s="17" t="s">
        <v>194</v>
      </c>
      <c r="E97" s="14" t="str">
        <f>if(countifs(DATABASE!I:I,"Bảo trì",DATABASE!E:E,C97,DATABASE!A:A,"&gt;01/03/2021",DATABASE!A:A,"&lt;01/09/2021")&gt;=1,"Đã bảo trì","")</f>
        <v>Đã bảo trì</v>
      </c>
      <c r="F97" s="14" t="str">
        <f>if(countifs(DATABASE!I:I,"Bảo trì",DATABASE!E:E,C97,DATABASE!A:A,"&gt;01/09/2021",DATABASE!A:A,"&lt;01/03/2022")&gt;=1,"Đã bảo trì","")</f>
        <v/>
      </c>
      <c r="G97" s="14">
        <f>countifs(DATABASE!E:E,C97)</f>
        <v>1</v>
      </c>
    </row>
    <row r="98">
      <c r="A98" s="15">
        <v>94.0</v>
      </c>
      <c r="B98" s="16">
        <v>8.0083021E7</v>
      </c>
      <c r="C98" s="16" t="s">
        <v>195</v>
      </c>
      <c r="D98" s="17" t="s">
        <v>196</v>
      </c>
      <c r="E98" s="14" t="str">
        <f>if(countifs(DATABASE!I:I,"Bảo trì",DATABASE!E:E,C98,DATABASE!A:A,"&gt;01/03/2021",DATABASE!A:A,"&lt;01/09/2021")&gt;=1,"Đã bảo trì","")</f>
        <v/>
      </c>
      <c r="F98" s="14" t="str">
        <f>if(countifs(DATABASE!I:I,"Bảo trì",DATABASE!E:E,C98,DATABASE!A:A,"&gt;01/09/2021",DATABASE!A:A,"&lt;01/03/2022")&gt;=1,"Đã bảo trì","")</f>
        <v/>
      </c>
      <c r="G98" s="14">
        <f>countifs(DATABASE!E:E,C98)</f>
        <v>0</v>
      </c>
    </row>
    <row r="99">
      <c r="A99" s="15">
        <v>95.0</v>
      </c>
      <c r="B99" s="16">
        <v>8.0083022E7</v>
      </c>
      <c r="C99" s="16" t="s">
        <v>197</v>
      </c>
      <c r="D99" s="17" t="s">
        <v>198</v>
      </c>
      <c r="E99" s="14" t="str">
        <f>if(countifs(DATABASE!I:I,"Bảo trì",DATABASE!E:E,C99,DATABASE!A:A,"&gt;01/03/2021",DATABASE!A:A,"&lt;01/09/2021")&gt;=1,"Đã bảo trì","")</f>
        <v>Đã bảo trì</v>
      </c>
      <c r="F99" s="14" t="str">
        <f>if(countifs(DATABASE!I:I,"Bảo trì",DATABASE!E:E,C99,DATABASE!A:A,"&gt;01/09/2021",DATABASE!A:A,"&lt;01/03/2022")&gt;=1,"Đã bảo trì","")</f>
        <v/>
      </c>
      <c r="G99" s="14">
        <f>countifs(DATABASE!E:E,C99)</f>
        <v>1</v>
      </c>
    </row>
    <row r="100">
      <c r="A100" s="15">
        <v>96.0</v>
      </c>
      <c r="B100" s="16">
        <v>8.0082013E7</v>
      </c>
      <c r="C100" s="16" t="s">
        <v>199</v>
      </c>
      <c r="D100" s="17" t="s">
        <v>200</v>
      </c>
      <c r="E100" s="14" t="str">
        <f>if(countifs(DATABASE!I:I,"Bảo trì",DATABASE!E:E,C100,DATABASE!A:A,"&gt;01/03/2021",DATABASE!A:A,"&lt;01/09/2021")&gt;=1,"Đã bảo trì","")</f>
        <v>Đã bảo trì</v>
      </c>
      <c r="F100" s="14" t="str">
        <f>if(countifs(DATABASE!I:I,"Bảo trì",DATABASE!E:E,C100,DATABASE!A:A,"&gt;01/09/2021",DATABASE!A:A,"&lt;01/03/2022")&gt;=1,"Đã bảo trì","")</f>
        <v/>
      </c>
      <c r="G100" s="14">
        <f>countifs(DATABASE!E:E,C100)</f>
        <v>2</v>
      </c>
    </row>
    <row r="101">
      <c r="A101" s="15">
        <v>97.0</v>
      </c>
      <c r="B101" s="16">
        <v>8.0001302E7</v>
      </c>
      <c r="C101" s="16" t="s">
        <v>201</v>
      </c>
      <c r="D101" s="17" t="s">
        <v>202</v>
      </c>
      <c r="E101" s="14" t="str">
        <f>if(countifs(DATABASE!I:I,"Bảo trì",DATABASE!E:E,C101,DATABASE!A:A,"&gt;01/03/2021",DATABASE!A:A,"&lt;01/09/2021")&gt;=1,"Đã bảo trì","")</f>
        <v/>
      </c>
      <c r="F101" s="14" t="str">
        <f>if(countifs(DATABASE!I:I,"Bảo trì",DATABASE!E:E,C101,DATABASE!A:A,"&gt;01/09/2021",DATABASE!A:A,"&lt;01/03/2022")&gt;=1,"Đã bảo trì","")</f>
        <v/>
      </c>
      <c r="G101" s="14">
        <f>countifs(DATABASE!E:E,C101)</f>
        <v>0</v>
      </c>
    </row>
    <row r="102">
      <c r="A102" s="15">
        <v>98.0</v>
      </c>
      <c r="B102" s="16">
        <v>8.0009023E7</v>
      </c>
      <c r="C102" s="16" t="s">
        <v>203</v>
      </c>
      <c r="D102" s="17" t="s">
        <v>204</v>
      </c>
      <c r="E102" s="14" t="str">
        <f>if(countifs(DATABASE!I:I,"Bảo trì",DATABASE!E:E,C102,DATABASE!A:A,"&gt;01/03/2021",DATABASE!A:A,"&lt;01/09/2021")&gt;=1,"Đã bảo trì","")</f>
        <v/>
      </c>
      <c r="F102" s="14" t="str">
        <f>if(countifs(DATABASE!I:I,"Bảo trì",DATABASE!E:E,C102,DATABASE!A:A,"&gt;01/09/2021",DATABASE!A:A,"&lt;01/03/2022")&gt;=1,"Đã bảo trì","")</f>
        <v/>
      </c>
      <c r="G102" s="14">
        <f>countifs(DATABASE!E:E,C102)</f>
        <v>0</v>
      </c>
    </row>
    <row r="103">
      <c r="A103" s="15">
        <v>99.0</v>
      </c>
      <c r="B103" s="16">
        <v>8.0084001E7</v>
      </c>
      <c r="C103" s="16" t="s">
        <v>205</v>
      </c>
      <c r="D103" s="17" t="s">
        <v>107</v>
      </c>
      <c r="E103" s="14" t="str">
        <f>if(countifs(DATABASE!I:I,"Bảo trì",DATABASE!E:E,C103,DATABASE!A:A,"&gt;01/03/2021",DATABASE!A:A,"&lt;01/09/2021")&gt;=1,"Đã bảo trì","")</f>
        <v/>
      </c>
      <c r="F103" s="14" t="str">
        <f>if(countifs(DATABASE!I:I,"Bảo trì",DATABASE!E:E,C103,DATABASE!A:A,"&gt;01/09/2021",DATABASE!A:A,"&lt;01/03/2022")&gt;=1,"Đã bảo trì","")</f>
        <v/>
      </c>
      <c r="G103" s="14">
        <f>countifs(DATABASE!E:E,C103)</f>
        <v>0</v>
      </c>
    </row>
    <row r="104">
      <c r="A104" s="15">
        <v>100.0</v>
      </c>
      <c r="B104" s="16">
        <v>8.0084202E7</v>
      </c>
      <c r="C104" s="16" t="s">
        <v>206</v>
      </c>
      <c r="D104" s="17" t="s">
        <v>207</v>
      </c>
      <c r="E104" s="14" t="str">
        <f>if(countifs(DATABASE!I:I,"Bảo trì",DATABASE!E:E,C104,DATABASE!A:A,"&gt;01/03/2021",DATABASE!A:A,"&lt;01/09/2021")&gt;=1,"Đã bảo trì","")</f>
        <v/>
      </c>
      <c r="F104" s="14" t="str">
        <f>if(countifs(DATABASE!I:I,"Bảo trì",DATABASE!E:E,C104,DATABASE!A:A,"&gt;01/09/2021",DATABASE!A:A,"&lt;01/03/2022")&gt;=1,"Đã bảo trì","")</f>
        <v/>
      </c>
      <c r="G104" s="14">
        <f>countifs(DATABASE!E:E,C104)</f>
        <v>0</v>
      </c>
    </row>
    <row r="105">
      <c r="A105" s="15">
        <v>101.0</v>
      </c>
      <c r="B105" s="16">
        <v>8.0052005E7</v>
      </c>
      <c r="C105" s="16" t="s">
        <v>208</v>
      </c>
      <c r="D105" s="17" t="s">
        <v>209</v>
      </c>
      <c r="E105" s="14" t="str">
        <f>if(countifs(DATABASE!I:I,"Bảo trì",DATABASE!E:E,C105,DATABASE!A:A,"&gt;01/03/2021",DATABASE!A:A,"&lt;01/09/2021")&gt;=1,"Đã bảo trì","")</f>
        <v/>
      </c>
      <c r="F105" s="14" t="str">
        <f>if(countifs(DATABASE!I:I,"Bảo trì",DATABASE!E:E,C105,DATABASE!A:A,"&gt;01/09/2021",DATABASE!A:A,"&lt;01/03/2022")&gt;=1,"Đã bảo trì","")</f>
        <v/>
      </c>
      <c r="G105" s="14">
        <f>countifs(DATABASE!E:E,C105)</f>
        <v>0</v>
      </c>
    </row>
    <row r="106">
      <c r="A106" s="15">
        <v>102.0</v>
      </c>
      <c r="B106" s="16">
        <v>8.0052004E7</v>
      </c>
      <c r="C106" s="16" t="s">
        <v>210</v>
      </c>
      <c r="D106" s="17" t="s">
        <v>211</v>
      </c>
      <c r="E106" s="14" t="str">
        <f>if(countifs(DATABASE!I:I,"Bảo trì",DATABASE!E:E,C106,DATABASE!A:A,"&gt;01/03/2021",DATABASE!A:A,"&lt;01/09/2021")&gt;=1,"Đã bảo trì","")</f>
        <v/>
      </c>
      <c r="F106" s="14" t="str">
        <f>if(countifs(DATABASE!I:I,"Bảo trì",DATABASE!E:E,C106,DATABASE!A:A,"&gt;01/09/2021",DATABASE!A:A,"&lt;01/03/2022")&gt;=1,"Đã bảo trì","")</f>
        <v/>
      </c>
      <c r="G106" s="14">
        <f>countifs(DATABASE!E:E,C106)</f>
        <v>0</v>
      </c>
    </row>
    <row r="107">
      <c r="A107" s="15">
        <v>103.0</v>
      </c>
      <c r="B107" s="16">
        <v>8.0052006E7</v>
      </c>
      <c r="C107" s="16" t="s">
        <v>212</v>
      </c>
      <c r="D107" s="17" t="s">
        <v>213</v>
      </c>
      <c r="E107" s="14" t="str">
        <f>if(countifs(DATABASE!I:I,"Bảo trì",DATABASE!E:E,C107,DATABASE!A:A,"&gt;01/03/2021",DATABASE!A:A,"&lt;01/09/2021")&gt;=1,"Đã bảo trì","")</f>
        <v/>
      </c>
      <c r="F107" s="14" t="str">
        <f>if(countifs(DATABASE!I:I,"Bảo trì",DATABASE!E:E,C107,DATABASE!A:A,"&gt;01/09/2021",DATABASE!A:A,"&lt;01/03/2022")&gt;=1,"Đã bảo trì","")</f>
        <v/>
      </c>
      <c r="G107" s="14">
        <f>countifs(DATABASE!E:E,C107)</f>
        <v>0</v>
      </c>
    </row>
    <row r="108">
      <c r="A108" s="15">
        <v>104.0</v>
      </c>
      <c r="B108" s="16">
        <v>8.0052503E7</v>
      </c>
      <c r="C108" s="16" t="s">
        <v>214</v>
      </c>
      <c r="D108" s="17" t="s">
        <v>215</v>
      </c>
      <c r="E108" s="14" t="str">
        <f>if(countifs(DATABASE!I:I,"Bảo trì",DATABASE!E:E,C108,DATABASE!A:A,"&gt;01/03/2021",DATABASE!A:A,"&lt;01/09/2021")&gt;=1,"Đã bảo trì","")</f>
        <v/>
      </c>
      <c r="F108" s="14" t="str">
        <f>if(countifs(DATABASE!I:I,"Bảo trì",DATABASE!E:E,C108,DATABASE!A:A,"&gt;01/09/2021",DATABASE!A:A,"&lt;01/03/2022")&gt;=1,"Đã bảo trì","")</f>
        <v/>
      </c>
      <c r="G108" s="14">
        <f>countifs(DATABASE!E:E,C108)</f>
        <v>1</v>
      </c>
    </row>
    <row r="109">
      <c r="A109" s="15">
        <v>105.0</v>
      </c>
      <c r="B109" s="16">
        <v>8.0046109E7</v>
      </c>
      <c r="C109" s="16" t="s">
        <v>216</v>
      </c>
      <c r="D109" s="17" t="s">
        <v>217</v>
      </c>
      <c r="E109" s="14" t="str">
        <f>if(countifs(DATABASE!I:I,"Bảo trì",DATABASE!E:E,C109,DATABASE!A:A,"&gt;01/03/2021",DATABASE!A:A,"&lt;01/09/2021")&gt;=1,"Đã bảo trì","")</f>
        <v/>
      </c>
      <c r="F109" s="14" t="str">
        <f>if(countifs(DATABASE!I:I,"Bảo trì",DATABASE!E:E,C109,DATABASE!A:A,"&gt;01/09/2021",DATABASE!A:A,"&lt;01/03/2022")&gt;=1,"Đã bảo trì","")</f>
        <v/>
      </c>
      <c r="G109" s="14">
        <f>countifs(DATABASE!E:E,C109)</f>
        <v>0</v>
      </c>
    </row>
    <row r="110">
      <c r="A110" s="15">
        <v>106.0</v>
      </c>
      <c r="B110" s="16">
        <v>8.004611E7</v>
      </c>
      <c r="C110" s="16" t="s">
        <v>218</v>
      </c>
      <c r="D110" s="17" t="s">
        <v>219</v>
      </c>
      <c r="E110" s="14" t="str">
        <f>if(countifs(DATABASE!I:I,"Bảo trì",DATABASE!E:E,C110,DATABASE!A:A,"&gt;01/03/2021",DATABASE!A:A,"&lt;01/09/2021")&gt;=1,"Đã bảo trì","")</f>
        <v/>
      </c>
      <c r="F110" s="14" t="str">
        <f>if(countifs(DATABASE!I:I,"Bảo trì",DATABASE!E:E,C110,DATABASE!A:A,"&gt;01/09/2021",DATABASE!A:A,"&lt;01/03/2022")&gt;=1,"Đã bảo trì","")</f>
        <v/>
      </c>
      <c r="G110" s="14">
        <f>countifs(DATABASE!E:E,C110)</f>
        <v>0</v>
      </c>
    </row>
    <row r="111">
      <c r="A111" s="15">
        <v>107.0</v>
      </c>
      <c r="B111" s="16">
        <v>8.0015105E7</v>
      </c>
      <c r="C111" s="16" t="s">
        <v>220</v>
      </c>
      <c r="D111" s="17" t="s">
        <v>221</v>
      </c>
      <c r="E111" s="14" t="str">
        <f>if(countifs(DATABASE!I:I,"Bảo trì",DATABASE!E:E,C111,DATABASE!A:A,"&gt;01/03/2021",DATABASE!A:A,"&lt;01/09/2021")&gt;=1,"Đã bảo trì","")</f>
        <v/>
      </c>
      <c r="F111" s="14" t="str">
        <f>if(countifs(DATABASE!I:I,"Bảo trì",DATABASE!E:E,C111,DATABASE!A:A,"&gt;01/09/2021",DATABASE!A:A,"&lt;01/03/2022")&gt;=1,"Đã bảo trì","")</f>
        <v/>
      </c>
      <c r="G111" s="14">
        <f>countifs(DATABASE!E:E,C111)</f>
        <v>0</v>
      </c>
    </row>
    <row r="112">
      <c r="A112" s="15">
        <v>108.0</v>
      </c>
      <c r="B112" s="16">
        <v>8.0056008E7</v>
      </c>
      <c r="C112" s="16" t="s">
        <v>222</v>
      </c>
      <c r="D112" s="17" t="s">
        <v>223</v>
      </c>
      <c r="E112" s="14" t="str">
        <f>if(countifs(DATABASE!I:I,"Bảo trì",DATABASE!E:E,C112,DATABASE!A:A,"&gt;01/03/2021",DATABASE!A:A,"&lt;01/09/2021")&gt;=1,"Đã bảo trì","")</f>
        <v/>
      </c>
      <c r="F112" s="14" t="str">
        <f>if(countifs(DATABASE!I:I,"Bảo trì",DATABASE!E:E,C112,DATABASE!A:A,"&gt;01/09/2021",DATABASE!A:A,"&lt;01/03/2022")&gt;=1,"Đã bảo trì","")</f>
        <v/>
      </c>
      <c r="G112" s="14">
        <f>countifs(DATABASE!E:E,C112)</f>
        <v>0</v>
      </c>
    </row>
    <row r="113">
      <c r="A113" s="15">
        <v>109.0</v>
      </c>
      <c r="B113" s="16">
        <v>8.0066003E7</v>
      </c>
      <c r="C113" s="16" t="s">
        <v>224</v>
      </c>
      <c r="D113" s="17" t="s">
        <v>225</v>
      </c>
      <c r="E113" s="14" t="str">
        <f>if(countifs(DATABASE!I:I,"Bảo trì",DATABASE!E:E,C113,DATABASE!A:A,"&gt;01/03/2021",DATABASE!A:A,"&lt;01/09/2021")&gt;=1,"Đã bảo trì","")</f>
        <v/>
      </c>
      <c r="F113" s="14" t="str">
        <f>if(countifs(DATABASE!I:I,"Bảo trì",DATABASE!E:E,C113,DATABASE!A:A,"&gt;01/09/2021",DATABASE!A:A,"&lt;01/03/2022")&gt;=1,"Đã bảo trì","")</f>
        <v/>
      </c>
      <c r="G113" s="14">
        <f>countifs(DATABASE!E:E,C113)</f>
        <v>0</v>
      </c>
    </row>
    <row r="114">
      <c r="A114" s="15">
        <v>110.0</v>
      </c>
      <c r="B114" s="16">
        <v>8.0075102E7</v>
      </c>
      <c r="C114" s="16" t="s">
        <v>226</v>
      </c>
      <c r="D114" s="17" t="s">
        <v>227</v>
      </c>
      <c r="E114" s="14" t="str">
        <f>if(countifs(DATABASE!I:I,"Bảo trì",DATABASE!E:E,C114,DATABASE!A:A,"&gt;01/03/2021",DATABASE!A:A,"&lt;01/09/2021")&gt;=1,"Đã bảo trì","")</f>
        <v/>
      </c>
      <c r="F114" s="14" t="str">
        <f>if(countifs(DATABASE!I:I,"Bảo trì",DATABASE!E:E,C114,DATABASE!A:A,"&gt;01/09/2021",DATABASE!A:A,"&lt;01/03/2022")&gt;=1,"Đã bảo trì","")</f>
        <v/>
      </c>
      <c r="G114" s="14">
        <f>countifs(DATABASE!E:E,C114)</f>
        <v>0</v>
      </c>
    </row>
    <row r="115">
      <c r="A115" s="15">
        <v>111.0</v>
      </c>
      <c r="B115" s="16">
        <v>8.0071001E7</v>
      </c>
      <c r="C115" s="16" t="s">
        <v>228</v>
      </c>
      <c r="D115" s="17" t="s">
        <v>229</v>
      </c>
      <c r="E115" s="14" t="str">
        <f>if(countifs(DATABASE!I:I,"Bảo trì",DATABASE!E:E,C115,DATABASE!A:A,"&gt;01/03/2021",DATABASE!A:A,"&lt;01/09/2021")&gt;=1,"Đã bảo trì","")</f>
        <v/>
      </c>
      <c r="F115" s="14" t="str">
        <f>if(countifs(DATABASE!I:I,"Bảo trì",DATABASE!E:E,C115,DATABASE!A:A,"&gt;01/09/2021",DATABASE!A:A,"&lt;01/03/2022")&gt;=1,"Đã bảo trì","")</f>
        <v/>
      </c>
      <c r="G115" s="14">
        <f>countifs(DATABASE!E:E,C115)</f>
        <v>0</v>
      </c>
    </row>
    <row r="116">
      <c r="A116" s="15">
        <v>112.0</v>
      </c>
      <c r="B116" s="16">
        <v>8.0075001E7</v>
      </c>
      <c r="C116" s="16" t="s">
        <v>230</v>
      </c>
      <c r="D116" s="17" t="s">
        <v>231</v>
      </c>
      <c r="E116" s="14" t="str">
        <f>if(countifs(DATABASE!I:I,"Bảo trì",DATABASE!E:E,C116,DATABASE!A:A,"&gt;01/03/2021",DATABASE!A:A,"&lt;01/09/2021")&gt;=1,"Đã bảo trì","")</f>
        <v/>
      </c>
      <c r="F116" s="14" t="str">
        <f>if(countifs(DATABASE!I:I,"Bảo trì",DATABASE!E:E,C116,DATABASE!A:A,"&gt;01/09/2021",DATABASE!A:A,"&lt;01/03/2022")&gt;=1,"Đã bảo trì","")</f>
        <v/>
      </c>
      <c r="G116" s="14">
        <f>countifs(DATABASE!E:E,C116)</f>
        <v>0</v>
      </c>
    </row>
    <row r="117">
      <c r="A117" s="15">
        <v>113.0</v>
      </c>
      <c r="B117" s="16">
        <v>8.0034301E7</v>
      </c>
      <c r="C117" s="16" t="s">
        <v>232</v>
      </c>
      <c r="D117" s="17" t="s">
        <v>233</v>
      </c>
      <c r="E117" s="14" t="str">
        <f>if(countifs(DATABASE!I:I,"Bảo trì",DATABASE!E:E,C117,DATABASE!A:A,"&gt;01/03/2021",DATABASE!A:A,"&lt;01/09/2021")&gt;=1,"Đã bảo trì","")</f>
        <v/>
      </c>
      <c r="F117" s="14" t="str">
        <f>if(countifs(DATABASE!I:I,"Bảo trì",DATABASE!E:E,C117,DATABASE!A:A,"&gt;01/09/2021",DATABASE!A:A,"&lt;01/03/2022")&gt;=1,"Đã bảo trì","")</f>
        <v/>
      </c>
      <c r="G117" s="14">
        <f>countifs(DATABASE!E:E,C117)</f>
        <v>0</v>
      </c>
    </row>
    <row r="118">
      <c r="A118" s="15">
        <v>114.0</v>
      </c>
      <c r="B118" s="16">
        <v>8.0013002E7</v>
      </c>
      <c r="C118" s="16" t="s">
        <v>234</v>
      </c>
      <c r="D118" s="17" t="s">
        <v>235</v>
      </c>
      <c r="E118" s="14" t="str">
        <f>if(countifs(DATABASE!I:I,"Bảo trì",DATABASE!E:E,C118,DATABASE!A:A,"&gt;01/03/2021",DATABASE!A:A,"&lt;01/09/2021")&gt;=1,"Đã bảo trì","")</f>
        <v/>
      </c>
      <c r="F118" s="14" t="str">
        <f>if(countifs(DATABASE!I:I,"Bảo trì",DATABASE!E:E,C118,DATABASE!A:A,"&gt;01/09/2021",DATABASE!A:A,"&lt;01/03/2022")&gt;=1,"Đã bảo trì","")</f>
        <v/>
      </c>
      <c r="G118" s="14">
        <f>countifs(DATABASE!E:E,C118)</f>
        <v>0</v>
      </c>
    </row>
    <row r="119">
      <c r="A119" s="15">
        <v>115.0</v>
      </c>
      <c r="B119" s="16">
        <v>8.0071703E7</v>
      </c>
      <c r="C119" s="16" t="s">
        <v>236</v>
      </c>
      <c r="D119" s="17" t="s">
        <v>237</v>
      </c>
      <c r="E119" s="14" t="str">
        <f>if(countifs(DATABASE!I:I,"Bảo trì",DATABASE!E:E,C119,DATABASE!A:A,"&gt;01/03/2021",DATABASE!A:A,"&lt;01/09/2021")&gt;=1,"Đã bảo trì","")</f>
        <v/>
      </c>
      <c r="F119" s="14" t="str">
        <f>if(countifs(DATABASE!I:I,"Bảo trì",DATABASE!E:E,C119,DATABASE!A:A,"&gt;01/09/2021",DATABASE!A:A,"&lt;01/03/2022")&gt;=1,"Đã bảo trì","")</f>
        <v/>
      </c>
      <c r="G119" s="14">
        <f>countifs(DATABASE!E:E,C119)</f>
        <v>0</v>
      </c>
    </row>
    <row r="120">
      <c r="A120" s="15">
        <v>116.0</v>
      </c>
      <c r="B120" s="16">
        <v>8.0072712E7</v>
      </c>
      <c r="C120" s="16" t="s">
        <v>238</v>
      </c>
      <c r="D120" s="17" t="s">
        <v>239</v>
      </c>
      <c r="E120" s="14" t="str">
        <f>if(countifs(DATABASE!I:I,"Bảo trì",DATABASE!E:E,C120,DATABASE!A:A,"&gt;01/03/2021",DATABASE!A:A,"&lt;01/09/2021")&gt;=1,"Đã bảo trì","")</f>
        <v/>
      </c>
      <c r="F120" s="14" t="str">
        <f>if(countifs(DATABASE!I:I,"Bảo trì",DATABASE!E:E,C120,DATABASE!A:A,"&gt;01/09/2021",DATABASE!A:A,"&lt;01/03/2022")&gt;=1,"Đã bảo trì","")</f>
        <v/>
      </c>
      <c r="G120" s="14">
        <f>countifs(DATABASE!E:E,C120)</f>
        <v>0</v>
      </c>
    </row>
    <row r="121">
      <c r="A121" s="15">
        <v>117.0</v>
      </c>
      <c r="B121" s="16">
        <v>8.0072711E7</v>
      </c>
      <c r="C121" s="16" t="s">
        <v>240</v>
      </c>
      <c r="D121" s="17" t="s">
        <v>241</v>
      </c>
      <c r="E121" s="14" t="str">
        <f>if(countifs(DATABASE!I:I,"Bảo trì",DATABASE!E:E,C121,DATABASE!A:A,"&gt;01/03/2021",DATABASE!A:A,"&lt;01/09/2021")&gt;=1,"Đã bảo trì","")</f>
        <v/>
      </c>
      <c r="F121" s="14" t="str">
        <f>if(countifs(DATABASE!I:I,"Bảo trì",DATABASE!E:E,C121,DATABASE!A:A,"&gt;01/09/2021",DATABASE!A:A,"&lt;01/03/2022")&gt;=1,"Đã bảo trì","")</f>
        <v/>
      </c>
      <c r="G121" s="14">
        <f>countifs(DATABASE!E:E,C121)</f>
        <v>0</v>
      </c>
    </row>
    <row r="122">
      <c r="A122" s="15">
        <v>118.0</v>
      </c>
      <c r="B122" s="16">
        <v>8.0070202E7</v>
      </c>
      <c r="C122" s="16" t="s">
        <v>242</v>
      </c>
      <c r="D122" s="17" t="s">
        <v>243</v>
      </c>
      <c r="E122" s="14" t="str">
        <f>if(countifs(DATABASE!I:I,"Bảo trì",DATABASE!E:E,C122,DATABASE!A:A,"&gt;01/03/2021",DATABASE!A:A,"&lt;01/09/2021")&gt;=1,"Đã bảo trì","")</f>
        <v/>
      </c>
      <c r="F122" s="14" t="str">
        <f>if(countifs(DATABASE!I:I,"Bảo trì",DATABASE!E:E,C122,DATABASE!A:A,"&gt;01/09/2021",DATABASE!A:A,"&lt;01/03/2022")&gt;=1,"Đã bảo trì","")</f>
        <v/>
      </c>
      <c r="G122" s="14">
        <f>countifs(DATABASE!E:E,C122)</f>
        <v>0</v>
      </c>
    </row>
    <row r="123">
      <c r="A123" s="15">
        <v>119.0</v>
      </c>
      <c r="B123" s="16">
        <v>8.0067002E7</v>
      </c>
      <c r="C123" s="16" t="s">
        <v>244</v>
      </c>
      <c r="D123" s="17" t="s">
        <v>245</v>
      </c>
      <c r="E123" s="14" t="str">
        <f>if(countifs(DATABASE!I:I,"Bảo trì",DATABASE!E:E,C123,DATABASE!A:A,"&gt;01/03/2021",DATABASE!A:A,"&lt;01/09/2021")&gt;=1,"Đã bảo trì","")</f>
        <v/>
      </c>
      <c r="F123" s="14" t="str">
        <f>if(countifs(DATABASE!I:I,"Bảo trì",DATABASE!E:E,C123,DATABASE!A:A,"&gt;01/09/2021",DATABASE!A:A,"&lt;01/03/2022")&gt;=1,"Đã bảo trì","")</f>
        <v/>
      </c>
      <c r="G123" s="14">
        <f>countifs(DATABASE!E:E,C123)</f>
        <v>0</v>
      </c>
    </row>
    <row r="124">
      <c r="A124" s="15">
        <v>120.0</v>
      </c>
      <c r="B124" s="16">
        <v>8.0073603E7</v>
      </c>
      <c r="C124" s="16" t="s">
        <v>246</v>
      </c>
      <c r="D124" s="17" t="s">
        <v>247</v>
      </c>
      <c r="E124" s="14" t="str">
        <f>if(countifs(DATABASE!I:I,"Bảo trì",DATABASE!E:E,C124,DATABASE!A:A,"&gt;01/03/2021",DATABASE!A:A,"&lt;01/09/2021")&gt;=1,"Đã bảo trì","")</f>
        <v/>
      </c>
      <c r="F124" s="14" t="str">
        <f>if(countifs(DATABASE!I:I,"Bảo trì",DATABASE!E:E,C124,DATABASE!A:A,"&gt;01/09/2021",DATABASE!A:A,"&lt;01/03/2022")&gt;=1,"Đã bảo trì","")</f>
        <v/>
      </c>
      <c r="G124" s="14">
        <f>countifs(DATABASE!E:E,C124)</f>
        <v>0</v>
      </c>
    </row>
    <row r="125">
      <c r="A125" s="15">
        <v>121.0</v>
      </c>
      <c r="B125" s="16">
        <v>8.0091002E7</v>
      </c>
      <c r="C125" s="16" t="s">
        <v>248</v>
      </c>
      <c r="D125" s="17" t="s">
        <v>249</v>
      </c>
      <c r="E125" s="14" t="str">
        <f>if(countifs(DATABASE!I:I,"Bảo trì",DATABASE!E:E,C125,DATABASE!A:A,"&gt;01/03/2021",DATABASE!A:A,"&lt;01/09/2021")&gt;=1,"Đã bảo trì","")</f>
        <v/>
      </c>
      <c r="F125" s="14" t="str">
        <f>if(countifs(DATABASE!I:I,"Bảo trì",DATABASE!E:E,C125,DATABASE!A:A,"&gt;01/09/2021",DATABASE!A:A,"&lt;01/03/2022")&gt;=1,"Đã bảo trì","")</f>
        <v/>
      </c>
      <c r="G125" s="14">
        <f>countifs(DATABASE!E:E,C125)</f>
        <v>0</v>
      </c>
    </row>
    <row r="126">
      <c r="A126" s="15">
        <v>122.0</v>
      </c>
      <c r="B126" s="16">
        <v>8.0086003E7</v>
      </c>
      <c r="C126" s="16" t="s">
        <v>250</v>
      </c>
      <c r="D126" s="17" t="s">
        <v>251</v>
      </c>
      <c r="E126" s="14" t="str">
        <f>if(countifs(DATABASE!I:I,"Bảo trì",DATABASE!E:E,C126,DATABASE!A:A,"&gt;01/03/2021",DATABASE!A:A,"&lt;01/09/2021")&gt;=1,"Đã bảo trì","")</f>
        <v/>
      </c>
      <c r="F126" s="14" t="str">
        <f>if(countifs(DATABASE!I:I,"Bảo trì",DATABASE!E:E,C126,DATABASE!A:A,"&gt;01/09/2021",DATABASE!A:A,"&lt;01/03/2022")&gt;=1,"Đã bảo trì","")</f>
        <v/>
      </c>
      <c r="G126" s="14">
        <f>countifs(DATABASE!E:E,C126)</f>
        <v>0</v>
      </c>
    </row>
    <row r="127">
      <c r="A127" s="15">
        <v>123.0</v>
      </c>
      <c r="B127" s="16">
        <v>8.0086004E7</v>
      </c>
      <c r="C127" s="16" t="s">
        <v>252</v>
      </c>
      <c r="D127" s="17" t="s">
        <v>251</v>
      </c>
      <c r="E127" s="14" t="str">
        <f>if(countifs(DATABASE!I:I,"Bảo trì",DATABASE!E:E,C127,DATABASE!A:A,"&gt;01/03/2021",DATABASE!A:A,"&lt;01/09/2021")&gt;=1,"Đã bảo trì","")</f>
        <v/>
      </c>
      <c r="F127" s="14" t="str">
        <f>if(countifs(DATABASE!I:I,"Bảo trì",DATABASE!E:E,C127,DATABASE!A:A,"&gt;01/09/2021",DATABASE!A:A,"&lt;01/03/2022")&gt;=1,"Đã bảo trì","")</f>
        <v/>
      </c>
      <c r="G127" s="14">
        <f>countifs(DATABASE!E:E,C127)</f>
        <v>0</v>
      </c>
    </row>
    <row r="128">
      <c r="A128" s="15">
        <v>124.0</v>
      </c>
      <c r="B128" s="16">
        <v>8.0055501E7</v>
      </c>
      <c r="C128" s="16" t="s">
        <v>253</v>
      </c>
      <c r="D128" s="17" t="s">
        <v>254</v>
      </c>
      <c r="E128" s="14" t="str">
        <f>if(countifs(DATABASE!I:I,"Bảo trì",DATABASE!E:E,C128,DATABASE!A:A,"&gt;01/03/2021",DATABASE!A:A,"&lt;01/09/2021")&gt;=1,"Đã bảo trì","")</f>
        <v/>
      </c>
      <c r="F128" s="14" t="str">
        <f>if(countifs(DATABASE!I:I,"Bảo trì",DATABASE!E:E,C128,DATABASE!A:A,"&gt;01/09/2021",DATABASE!A:A,"&lt;01/03/2022")&gt;=1,"Đã bảo trì","")</f>
        <v/>
      </c>
      <c r="G128" s="14">
        <f>countifs(DATABASE!E:E,C128)</f>
        <v>0</v>
      </c>
    </row>
    <row r="129">
      <c r="A129" s="15">
        <v>125.0</v>
      </c>
      <c r="B129" s="16">
        <v>8.0055108E7</v>
      </c>
      <c r="C129" s="16" t="s">
        <v>255</v>
      </c>
      <c r="D129" s="17" t="s">
        <v>256</v>
      </c>
      <c r="E129" s="14" t="str">
        <f>if(countifs(DATABASE!I:I,"Bảo trì",DATABASE!E:E,C129,DATABASE!A:A,"&gt;01/03/2021",DATABASE!A:A,"&lt;01/09/2021")&gt;=1,"Đã bảo trì","")</f>
        <v/>
      </c>
      <c r="F129" s="14" t="str">
        <f>if(countifs(DATABASE!I:I,"Bảo trì",DATABASE!E:E,C129,DATABASE!A:A,"&gt;01/09/2021",DATABASE!A:A,"&lt;01/03/2022")&gt;=1,"Đã bảo trì","")</f>
        <v/>
      </c>
      <c r="G129" s="14">
        <f>countifs(DATABASE!E:E,C129)</f>
        <v>0</v>
      </c>
    </row>
    <row r="130">
      <c r="A130" s="15">
        <v>126.0</v>
      </c>
      <c r="B130" s="16">
        <v>8.008002E7</v>
      </c>
      <c r="C130" s="16" t="s">
        <v>257</v>
      </c>
      <c r="D130" s="17" t="s">
        <v>258</v>
      </c>
      <c r="E130" s="14" t="str">
        <f>if(countifs(DATABASE!I:I,"Bảo trì",DATABASE!E:E,C130,DATABASE!A:A,"&gt;01/03/2021",DATABASE!A:A,"&lt;01/09/2021")&gt;=1,"Đã bảo trì","")</f>
        <v/>
      </c>
      <c r="F130" s="14" t="str">
        <f>if(countifs(DATABASE!I:I,"Bảo trì",DATABASE!E:E,C130,DATABASE!A:A,"&gt;01/09/2021",DATABASE!A:A,"&lt;01/03/2022")&gt;=1,"Đã bảo trì","")</f>
        <v/>
      </c>
      <c r="G130" s="14">
        <f>countifs(DATABASE!E:E,C130)</f>
        <v>0</v>
      </c>
    </row>
    <row r="131">
      <c r="A131" s="15">
        <v>127.0</v>
      </c>
      <c r="B131" s="16">
        <v>8.0080019E7</v>
      </c>
      <c r="C131" s="16" t="s">
        <v>259</v>
      </c>
      <c r="D131" s="17" t="s">
        <v>260</v>
      </c>
      <c r="E131" s="14" t="str">
        <f>if(countifs(DATABASE!I:I,"Bảo trì",DATABASE!E:E,C131,DATABASE!A:A,"&gt;01/03/2021",DATABASE!A:A,"&lt;01/09/2021")&gt;=1,"Đã bảo trì","")</f>
        <v/>
      </c>
      <c r="F131" s="14" t="str">
        <f>if(countifs(DATABASE!I:I,"Bảo trì",DATABASE!E:E,C131,DATABASE!A:A,"&gt;01/09/2021",DATABASE!A:A,"&lt;01/03/2022")&gt;=1,"Đã bảo trì","")</f>
        <v/>
      </c>
      <c r="G131" s="14">
        <f>countifs(DATABASE!E:E,C131)</f>
        <v>0</v>
      </c>
    </row>
    <row r="132">
      <c r="A132" s="15">
        <v>128.0</v>
      </c>
      <c r="B132" s="16">
        <v>8.0081013E7</v>
      </c>
      <c r="C132" s="16" t="s">
        <v>261</v>
      </c>
      <c r="D132" s="17" t="s">
        <v>262</v>
      </c>
      <c r="E132" s="14" t="str">
        <f>if(countifs(DATABASE!I:I,"Bảo trì",DATABASE!E:E,C132,DATABASE!A:A,"&gt;01/03/2021",DATABASE!A:A,"&lt;01/09/2021")&gt;=1,"Đã bảo trì","")</f>
        <v/>
      </c>
      <c r="F132" s="14" t="str">
        <f>if(countifs(DATABASE!I:I,"Bảo trì",DATABASE!E:E,C132,DATABASE!A:A,"&gt;01/09/2021",DATABASE!A:A,"&lt;01/03/2022")&gt;=1,"Đã bảo trì","")</f>
        <v/>
      </c>
      <c r="G132" s="14">
        <f>countifs(DATABASE!E:E,C132)</f>
        <v>0</v>
      </c>
    </row>
    <row r="133">
      <c r="A133" s="15">
        <v>129.0</v>
      </c>
      <c r="B133" s="16">
        <v>8.0065107E7</v>
      </c>
      <c r="C133" s="16" t="s">
        <v>263</v>
      </c>
      <c r="D133" s="17" t="s">
        <v>264</v>
      </c>
      <c r="E133" s="14" t="str">
        <f>if(countifs(DATABASE!I:I,"Bảo trì",DATABASE!E:E,C133,DATABASE!A:A,"&gt;01/03/2021",DATABASE!A:A,"&lt;01/09/2021")&gt;=1,"Đã bảo trì","")</f>
        <v/>
      </c>
      <c r="F133" s="14" t="str">
        <f>if(countifs(DATABASE!I:I,"Bảo trì",DATABASE!E:E,C133,DATABASE!A:A,"&gt;01/09/2021",DATABASE!A:A,"&lt;01/03/2022")&gt;=1,"Đã bảo trì","")</f>
        <v/>
      </c>
      <c r="G133" s="14">
        <f>countifs(DATABASE!E:E,C133)</f>
        <v>0</v>
      </c>
    </row>
    <row r="134">
      <c r="A134" s="15">
        <v>130.0</v>
      </c>
      <c r="B134" s="16">
        <v>8.0033008E7</v>
      </c>
      <c r="C134" s="16" t="s">
        <v>265</v>
      </c>
      <c r="D134" s="17" t="s">
        <v>266</v>
      </c>
      <c r="E134" s="14" t="str">
        <f>if(countifs(DATABASE!I:I,"Bảo trì",DATABASE!E:E,C134,DATABASE!A:A,"&gt;01/03/2021",DATABASE!A:A,"&lt;01/09/2021")&gt;=1,"Đã bảo trì","")</f>
        <v/>
      </c>
      <c r="F134" s="14" t="str">
        <f>if(countifs(DATABASE!I:I,"Bảo trì",DATABASE!E:E,C134,DATABASE!A:A,"&gt;01/09/2021",DATABASE!A:A,"&lt;01/03/2022")&gt;=1,"Đã bảo trì","")</f>
        <v/>
      </c>
      <c r="G134" s="14">
        <f>countifs(DATABASE!E:E,C134)</f>
        <v>0</v>
      </c>
    </row>
    <row r="135">
      <c r="A135" s="15">
        <v>131.0</v>
      </c>
      <c r="B135" s="16">
        <v>8.0033009E7</v>
      </c>
      <c r="C135" s="16" t="s">
        <v>267</v>
      </c>
      <c r="D135" s="17" t="s">
        <v>266</v>
      </c>
      <c r="E135" s="14" t="str">
        <f>if(countifs(DATABASE!I:I,"Bảo trì",DATABASE!E:E,C135,DATABASE!A:A,"&gt;01/03/2021",DATABASE!A:A,"&lt;01/09/2021")&gt;=1,"Đã bảo trì","")</f>
        <v/>
      </c>
      <c r="F135" s="14" t="str">
        <f>if(countifs(DATABASE!I:I,"Bảo trì",DATABASE!E:E,C135,DATABASE!A:A,"&gt;01/09/2021",DATABASE!A:A,"&lt;01/03/2022")&gt;=1,"Đã bảo trì","")</f>
        <v/>
      </c>
      <c r="G135" s="14">
        <f>countifs(DATABASE!E:E,C135)</f>
        <v>0</v>
      </c>
    </row>
    <row r="136">
      <c r="A136" s="8" t="s">
        <v>268</v>
      </c>
      <c r="B136" s="9"/>
      <c r="C136" s="9"/>
      <c r="D136" s="9"/>
      <c r="E136" s="10"/>
      <c r="F136" s="10"/>
      <c r="G136" s="10"/>
    </row>
    <row r="137">
      <c r="A137" s="19">
        <v>1.0</v>
      </c>
      <c r="B137" s="16">
        <v>8.0018001E7</v>
      </c>
      <c r="C137" s="16" t="s">
        <v>269</v>
      </c>
      <c r="D137" s="17" t="s">
        <v>270</v>
      </c>
      <c r="E137" s="14" t="str">
        <f>if(countifs(DATABASE!I:I,"Bảo trì",DATABASE!E:E,C5,DATABASE!A:A,"&gt;01/04/2021",DATABASE!A:A,"&lt;01/10/2021")&gt;=1,"Đã bảo trì","")</f>
        <v/>
      </c>
      <c r="F137" s="14" t="str">
        <f>if(countifs(DATABASE!I:I,"Bảo trì",DATABASE!E:E,C137,DATABASE!A:A,"&gt;01/10/2021",DATABASE!A:A,"&lt;01/04/2022")=1,"Đã bảo trì","")</f>
        <v/>
      </c>
      <c r="G137" s="14">
        <f>countifs(DATABASE!E:E,C137)</f>
        <v>1</v>
      </c>
    </row>
    <row r="138">
      <c r="A138" s="19">
        <v>2.0</v>
      </c>
      <c r="B138" s="16">
        <v>8.0018002E7</v>
      </c>
      <c r="C138" s="16" t="s">
        <v>271</v>
      </c>
      <c r="D138" s="17" t="s">
        <v>272</v>
      </c>
      <c r="E138" s="14" t="str">
        <f>if(countifs(DATABASE!I:I,"Bảo trì",DATABASE!E:E,C6,DATABASE!A:A,"&gt;01/04/2021",DATABASE!A:A,"&lt;01/10/2021")&gt;=1,"Đã bảo trì","")</f>
        <v/>
      </c>
      <c r="F138" s="14" t="str">
        <f>if(countifs(DATABASE!I:I,"Bảo trì",DATABASE!E:E,C138,DATABASE!A:A,"&gt;01/10/2021",DATABASE!A:A,"&lt;01/04/2022")=1,"Đã bảo trì","")</f>
        <v/>
      </c>
      <c r="G138" s="14">
        <f>countifs(DATABASE!E:E,C138)</f>
        <v>3</v>
      </c>
    </row>
    <row r="139">
      <c r="A139" s="19">
        <v>3.0</v>
      </c>
      <c r="B139" s="16">
        <v>8.0083006E7</v>
      </c>
      <c r="C139" s="16" t="s">
        <v>273</v>
      </c>
      <c r="D139" s="17" t="s">
        <v>274</v>
      </c>
      <c r="E139" s="14" t="str">
        <f>if(countifs(DATABASE!I:I,"Bảo trì",DATABASE!E:E,C7,DATABASE!A:A,"&gt;01/04/2021",DATABASE!A:A,"&lt;01/10/2021")&gt;=1,"Đã bảo trì","")</f>
        <v/>
      </c>
      <c r="F139" s="14" t="str">
        <f>if(countifs(DATABASE!I:I,"Bảo trì",DATABASE!E:E,C139,DATABASE!A:A,"&gt;01/10/2021",DATABASE!A:A,"&lt;01/04/2022")=1,"Đã bảo trì","")</f>
        <v/>
      </c>
      <c r="G139" s="14">
        <f>countifs(DATABASE!E:E,C139)</f>
        <v>0</v>
      </c>
    </row>
    <row r="140">
      <c r="A140" s="19">
        <v>4.0</v>
      </c>
      <c r="B140" s="16">
        <v>8.0083017E7</v>
      </c>
      <c r="C140" s="16" t="s">
        <v>275</v>
      </c>
      <c r="D140" s="17" t="s">
        <v>276</v>
      </c>
      <c r="E140" s="14" t="str">
        <f>if(countifs(DATABASE!I:I,"Bảo trì",DATABASE!E:E,C8,DATABASE!A:A,"&gt;01/04/2021",DATABASE!A:A,"&lt;01/10/2021")&gt;=1,"Đã bảo trì","")</f>
        <v/>
      </c>
      <c r="F140" s="14" t="str">
        <f>if(countifs(DATABASE!I:I,"Bảo trì",DATABASE!E:E,C140,DATABASE!A:A,"&gt;01/10/2021",DATABASE!A:A,"&lt;01/04/2022")=1,"Đã bảo trì","")</f>
        <v/>
      </c>
      <c r="G140" s="14">
        <f>countifs(DATABASE!E:E,C140)</f>
        <v>0</v>
      </c>
    </row>
    <row r="141">
      <c r="A141" s="19">
        <v>5.0</v>
      </c>
      <c r="B141" s="16">
        <v>8.0083018E7</v>
      </c>
      <c r="C141" s="16" t="s">
        <v>277</v>
      </c>
      <c r="D141" s="17" t="s">
        <v>278</v>
      </c>
      <c r="E141" s="14" t="str">
        <f>if(countifs(DATABASE!I:I,"Bảo trì",DATABASE!E:E,C9,DATABASE!A:A,"&gt;01/04/2021",DATABASE!A:A,"&lt;01/10/2021")&gt;=1,"Đã bảo trì","")</f>
        <v>Đã bảo trì</v>
      </c>
      <c r="F141" s="14" t="str">
        <f>if(countifs(DATABASE!I:I,"Bảo trì",DATABASE!E:E,C141,DATABASE!A:A,"&gt;01/10/2021",DATABASE!A:A,"&lt;01/04/2022")=1,"Đã bảo trì","")</f>
        <v/>
      </c>
      <c r="G141" s="14">
        <f>countifs(DATABASE!E:E,C141)</f>
        <v>1</v>
      </c>
    </row>
    <row r="142">
      <c r="A142" s="19">
        <v>6.0</v>
      </c>
      <c r="B142" s="16">
        <v>8.0052003E7</v>
      </c>
      <c r="C142" s="16" t="s">
        <v>279</v>
      </c>
      <c r="D142" s="17" t="s">
        <v>280</v>
      </c>
      <c r="E142" s="14" t="str">
        <f>if(countifs(DATABASE!I:I,"Bảo trì",DATABASE!E:E,C10,DATABASE!A:A,"&gt;01/04/2021",DATABASE!A:A,"&lt;01/10/2021")&gt;=1,"Đã bảo trì","")</f>
        <v/>
      </c>
      <c r="F142" s="14" t="str">
        <f>if(countifs(DATABASE!I:I,"Bảo trì",DATABASE!E:E,C142,DATABASE!A:A,"&gt;01/10/2021",DATABASE!A:A,"&lt;01/04/2022")=1,"Đã bảo trì","")</f>
        <v/>
      </c>
      <c r="G142" s="14">
        <f>countifs(DATABASE!E:E,C142)</f>
        <v>0</v>
      </c>
    </row>
    <row r="143">
      <c r="A143" s="19">
        <v>7.0</v>
      </c>
      <c r="B143" s="16">
        <v>8.0052001E7</v>
      </c>
      <c r="C143" s="16" t="s">
        <v>281</v>
      </c>
      <c r="D143" s="17" t="s">
        <v>282</v>
      </c>
      <c r="E143" s="14" t="str">
        <f>if(countifs(DATABASE!I:I,"Bảo trì",DATABASE!E:E,C11,DATABASE!A:A,"&gt;01/04/2021",DATABASE!A:A,"&lt;01/10/2021")&gt;=1,"Đã bảo trì","")</f>
        <v/>
      </c>
      <c r="F143" s="14" t="str">
        <f>if(countifs(DATABASE!I:I,"Bảo trì",DATABASE!E:E,C143,DATABASE!A:A,"&gt;01/10/2021",DATABASE!A:A,"&lt;01/04/2022")=1,"Đã bảo trì","")</f>
        <v/>
      </c>
      <c r="G143" s="14">
        <f>countifs(DATABASE!E:E,C143)</f>
        <v>2</v>
      </c>
    </row>
    <row r="144">
      <c r="A144" s="19">
        <v>8.0</v>
      </c>
      <c r="B144" s="16">
        <v>8.0003011E7</v>
      </c>
      <c r="C144" s="16" t="s">
        <v>283</v>
      </c>
      <c r="D144" s="17" t="s">
        <v>284</v>
      </c>
      <c r="E144" s="14" t="str">
        <f>if(countifs(DATABASE!I:I,"Bảo trì",DATABASE!E:E,C12,DATABASE!A:A,"&gt;01/04/2021",DATABASE!A:A,"&lt;01/10/2021")&gt;=1,"Đã bảo trì","")</f>
        <v/>
      </c>
      <c r="F144" s="14" t="str">
        <f>if(countifs(DATABASE!I:I,"Bảo trì",DATABASE!E:E,C144,DATABASE!A:A,"&gt;01/10/2021",DATABASE!A:A,"&lt;01/04/2022")=1,"Đã bảo trì","")</f>
        <v/>
      </c>
      <c r="G144" s="14">
        <f>countifs(DATABASE!E:E,C144)</f>
        <v>0</v>
      </c>
    </row>
    <row r="145">
      <c r="A145" s="19">
        <v>9.0</v>
      </c>
      <c r="B145" s="16">
        <v>8.0025306E7</v>
      </c>
      <c r="C145" s="16" t="s">
        <v>285</v>
      </c>
      <c r="D145" s="17" t="s">
        <v>286</v>
      </c>
      <c r="E145" s="14" t="str">
        <f>if(countifs(DATABASE!I:I,"Bảo trì",DATABASE!E:E,C13,DATABASE!A:A,"&gt;01/04/2021",DATABASE!A:A,"&lt;01/10/2021")&gt;=1,"Đã bảo trì","")</f>
        <v/>
      </c>
      <c r="F145" s="14" t="str">
        <f>if(countifs(DATABASE!I:I,"Bảo trì",DATABASE!E:E,C145,DATABASE!A:A,"&gt;01/10/2021",DATABASE!A:A,"&lt;01/04/2022")=1,"Đã bảo trì","")</f>
        <v/>
      </c>
      <c r="G145" s="14">
        <f>countifs(DATABASE!E:E,C145)</f>
        <v>2</v>
      </c>
    </row>
    <row r="146">
      <c r="A146" s="19">
        <v>10.0</v>
      </c>
      <c r="B146" s="16">
        <v>8.0023012E7</v>
      </c>
      <c r="C146" s="16" t="s">
        <v>287</v>
      </c>
      <c r="D146" s="17" t="s">
        <v>288</v>
      </c>
      <c r="E146" s="14" t="str">
        <f>if(countifs(DATABASE!I:I,"Bảo trì",DATABASE!E:E,C14,DATABASE!A:A,"&gt;01/04/2021",DATABASE!A:A,"&lt;01/10/2021")&gt;=1,"Đã bảo trì","")</f>
        <v/>
      </c>
      <c r="F146" s="14" t="str">
        <f>if(countifs(DATABASE!I:I,"Bảo trì",DATABASE!E:E,C146,DATABASE!A:A,"&gt;01/10/2021",DATABASE!A:A,"&lt;01/04/2022")=1,"Đã bảo trì","")</f>
        <v/>
      </c>
      <c r="G146" s="14">
        <f>countifs(DATABASE!E:E,C146)</f>
        <v>2</v>
      </c>
    </row>
    <row r="147">
      <c r="A147" s="19">
        <v>11.0</v>
      </c>
      <c r="B147" s="16">
        <v>8.0077101E7</v>
      </c>
      <c r="C147" s="16" t="s">
        <v>289</v>
      </c>
      <c r="D147" s="17" t="s">
        <v>290</v>
      </c>
      <c r="E147" s="14" t="str">
        <f>if(countifs(DATABASE!I:I,"Bảo trì",DATABASE!E:E,C15,DATABASE!A:A,"&gt;01/04/2021",DATABASE!A:A,"&lt;01/10/2021")&gt;=1,"Đã bảo trì","")</f>
        <v/>
      </c>
      <c r="F147" s="14" t="str">
        <f>if(countifs(DATABASE!I:I,"Bảo trì",DATABASE!E:E,C147,DATABASE!A:A,"&gt;01/10/2021",DATABASE!A:A,"&lt;01/04/2022")=1,"Đã bảo trì","")</f>
        <v/>
      </c>
      <c r="G147" s="14">
        <f>countifs(DATABASE!E:E,C147)</f>
        <v>1</v>
      </c>
    </row>
    <row r="148">
      <c r="A148" s="19">
        <v>12.0</v>
      </c>
      <c r="B148" s="16">
        <v>8.0007401E7</v>
      </c>
      <c r="C148" s="16" t="s">
        <v>291</v>
      </c>
      <c r="D148" s="17" t="s">
        <v>292</v>
      </c>
      <c r="E148" s="14" t="str">
        <f>if(countifs(DATABASE!I:I,"Bảo trì",DATABASE!E:E,C16,DATABASE!A:A,"&gt;01/04/2021",DATABASE!A:A,"&lt;01/10/2021")&gt;=1,"Đã bảo trì","")</f>
        <v/>
      </c>
      <c r="F148" s="14" t="str">
        <f>if(countifs(DATABASE!I:I,"Bảo trì",DATABASE!E:E,C148,DATABASE!A:A,"&gt;01/10/2021",DATABASE!A:A,"&lt;01/04/2022")=1,"Đã bảo trì","")</f>
        <v/>
      </c>
      <c r="G148" s="14">
        <f>countifs(DATABASE!E:E,C148)</f>
        <v>1</v>
      </c>
    </row>
    <row r="149">
      <c r="A149" s="19">
        <v>13.0</v>
      </c>
      <c r="B149" s="16">
        <v>8.0077701E7</v>
      </c>
      <c r="C149" s="16" t="s">
        <v>293</v>
      </c>
      <c r="D149" s="17" t="s">
        <v>294</v>
      </c>
      <c r="E149" s="14" t="str">
        <f>if(countifs(DATABASE!I:I,"Bảo trì",DATABASE!E:E,C17,DATABASE!A:A,"&gt;01/04/2021",DATABASE!A:A,"&lt;01/10/2021")&gt;=1,"Đã bảo trì","")</f>
        <v/>
      </c>
      <c r="F149" s="14" t="str">
        <f>if(countifs(DATABASE!I:I,"Bảo trì",DATABASE!E:E,C149,DATABASE!A:A,"&gt;01/10/2021",DATABASE!A:A,"&lt;01/04/2022")=1,"Đã bảo trì","")</f>
        <v/>
      </c>
      <c r="G149" s="14">
        <f>countifs(DATABASE!E:E,C149)</f>
        <v>0</v>
      </c>
    </row>
    <row r="150">
      <c r="A150" s="19">
        <v>14.0</v>
      </c>
      <c r="B150" s="16">
        <v>8.0081011E7</v>
      </c>
      <c r="C150" s="16" t="s">
        <v>295</v>
      </c>
      <c r="D150" s="17" t="s">
        <v>296</v>
      </c>
      <c r="E150" s="14" t="str">
        <f>if(countifs(DATABASE!I:I,"Bảo trì",DATABASE!E:E,C18,DATABASE!A:A,"&gt;01/04/2021",DATABASE!A:A,"&lt;01/10/2021")&gt;=1,"Đã bảo trì","")</f>
        <v/>
      </c>
      <c r="F150" s="14" t="str">
        <f>if(countifs(DATABASE!I:I,"Bảo trì",DATABASE!E:E,C150,DATABASE!A:A,"&gt;01/10/2021",DATABASE!A:A,"&lt;01/04/2022")=1,"Đã bảo trì","")</f>
        <v/>
      </c>
      <c r="G150" s="14">
        <f>countifs(DATABASE!E:E,C150)</f>
        <v>0</v>
      </c>
    </row>
    <row r="151">
      <c r="A151" s="19">
        <v>15.0</v>
      </c>
      <c r="B151" s="16">
        <v>8.008201E7</v>
      </c>
      <c r="C151" s="16" t="s">
        <v>297</v>
      </c>
      <c r="D151" s="17" t="s">
        <v>298</v>
      </c>
      <c r="E151" s="14" t="str">
        <f>if(countifs(DATABASE!I:I,"Bảo trì",DATABASE!E:E,C19,DATABASE!A:A,"&gt;01/04/2021",DATABASE!A:A,"&lt;01/10/2021")&gt;=1,"Đã bảo trì","")</f>
        <v/>
      </c>
      <c r="F151" s="14" t="str">
        <f>if(countifs(DATABASE!I:I,"Bảo trì",DATABASE!E:E,C151,DATABASE!A:A,"&gt;01/10/2021",DATABASE!A:A,"&lt;01/04/2022")=1,"Đã bảo trì","")</f>
        <v/>
      </c>
      <c r="G151" s="14">
        <f>countifs(DATABASE!E:E,C151)</f>
        <v>4</v>
      </c>
    </row>
    <row r="152">
      <c r="A152" s="19">
        <v>16.0</v>
      </c>
      <c r="B152" s="16">
        <v>8.0035802E7</v>
      </c>
      <c r="C152" s="16" t="s">
        <v>299</v>
      </c>
      <c r="D152" s="17" t="s">
        <v>300</v>
      </c>
      <c r="E152" s="14" t="str">
        <f>if(countifs(DATABASE!I:I,"Bảo trì",DATABASE!E:E,C20,DATABASE!A:A,"&gt;01/04/2021",DATABASE!A:A,"&lt;01/10/2021")&gt;=1,"Đã bảo trì","")</f>
        <v/>
      </c>
      <c r="F152" s="14" t="str">
        <f>if(countifs(DATABASE!I:I,"Bảo trì",DATABASE!E:E,C152,DATABASE!A:A,"&gt;01/10/2021",DATABASE!A:A,"&lt;01/04/2022")=1,"Đã bảo trì","")</f>
        <v/>
      </c>
      <c r="G152" s="14">
        <f>countifs(DATABASE!E:E,C152)</f>
        <v>1</v>
      </c>
    </row>
    <row r="153">
      <c r="A153" s="19">
        <v>17.0</v>
      </c>
      <c r="B153" s="16">
        <v>8.0035115E7</v>
      </c>
      <c r="C153" s="16" t="s">
        <v>301</v>
      </c>
      <c r="D153" s="17" t="s">
        <v>302</v>
      </c>
      <c r="E153" s="14" t="str">
        <f>if(countifs(DATABASE!I:I,"Bảo trì",DATABASE!E:E,C21,DATABASE!A:A,"&gt;01/04/2021",DATABASE!A:A,"&lt;01/10/2021")&gt;=1,"Đã bảo trì","")</f>
        <v/>
      </c>
      <c r="F153" s="14" t="str">
        <f>if(countifs(DATABASE!I:I,"Bảo trì",DATABASE!E:E,C153,DATABASE!A:A,"&gt;01/10/2021",DATABASE!A:A,"&lt;01/04/2022")=1,"Đã bảo trì","")</f>
        <v/>
      </c>
      <c r="G153" s="14">
        <f>countifs(DATABASE!E:E,C153)</f>
        <v>0</v>
      </c>
    </row>
    <row r="154">
      <c r="A154" s="19">
        <v>18.0</v>
      </c>
      <c r="B154" s="16">
        <v>8.000902E7</v>
      </c>
      <c r="C154" s="16" t="s">
        <v>303</v>
      </c>
      <c r="D154" s="17" t="s">
        <v>304</v>
      </c>
      <c r="E154" s="14" t="str">
        <f>if(countifs(DATABASE!I:I,"Bảo trì",DATABASE!E:E,C22,DATABASE!A:A,"&gt;01/04/2021",DATABASE!A:A,"&lt;01/10/2021")&gt;=1,"Đã bảo trì","")</f>
        <v/>
      </c>
      <c r="F154" s="14" t="str">
        <f>if(countifs(DATABASE!I:I,"Bảo trì",DATABASE!E:E,C154,DATABASE!A:A,"&gt;01/10/2021",DATABASE!A:A,"&lt;01/04/2022")=1,"Đã bảo trì","")</f>
        <v/>
      </c>
      <c r="G154" s="14">
        <f>countifs(DATABASE!E:E,C154)</f>
        <v>0</v>
      </c>
    </row>
    <row r="155">
      <c r="A155" s="19">
        <v>19.0</v>
      </c>
      <c r="B155" s="16">
        <v>8.0077505E7</v>
      </c>
      <c r="C155" s="16" t="s">
        <v>305</v>
      </c>
      <c r="D155" s="17" t="s">
        <v>306</v>
      </c>
      <c r="E155" s="14" t="str">
        <f>if(countifs(DATABASE!I:I,"Bảo trì",DATABASE!E:E,C23,DATABASE!A:A,"&gt;01/04/2021",DATABASE!A:A,"&lt;01/10/2021")&gt;=1,"Đã bảo trì","")</f>
        <v/>
      </c>
      <c r="F155" s="14" t="str">
        <f>if(countifs(DATABASE!I:I,"Bảo trì",DATABASE!E:E,C155,DATABASE!A:A,"&gt;01/10/2021",DATABASE!A:A,"&lt;01/04/2022")=1,"Đã bảo trì","")</f>
        <v/>
      </c>
      <c r="G155" s="14">
        <f>countifs(DATABASE!E:E,C155)</f>
        <v>7</v>
      </c>
    </row>
    <row r="156">
      <c r="A156" s="19">
        <v>20.0</v>
      </c>
      <c r="B156" s="16">
        <v>8.0035801E7</v>
      </c>
      <c r="C156" s="16" t="s">
        <v>307</v>
      </c>
      <c r="D156" s="17" t="s">
        <v>308</v>
      </c>
      <c r="E156" s="14" t="str">
        <f>if(countifs(DATABASE!I:I,"Bảo trì",DATABASE!E:E,C24,DATABASE!A:A,"&gt;01/04/2021",DATABASE!A:A,"&lt;01/10/2021")&gt;=1,"Đã bảo trì","")</f>
        <v/>
      </c>
      <c r="F156" s="14" t="str">
        <f>if(countifs(DATABASE!I:I,"Bảo trì",DATABASE!E:E,C156,DATABASE!A:A,"&gt;01/10/2021",DATABASE!A:A,"&lt;01/04/2022")=1,"Đã bảo trì","")</f>
        <v/>
      </c>
      <c r="G156" s="14">
        <f>countifs(DATABASE!E:E,C156)</f>
        <v>0</v>
      </c>
    </row>
    <row r="157">
      <c r="A157" s="19">
        <v>21.0</v>
      </c>
      <c r="B157" s="16">
        <v>8.0035102E7</v>
      </c>
      <c r="C157" s="16" t="s">
        <v>309</v>
      </c>
      <c r="D157" s="17" t="s">
        <v>310</v>
      </c>
      <c r="E157" s="14" t="str">
        <f>if(countifs(DATABASE!I:I,"Bảo trì",DATABASE!E:E,C25,DATABASE!A:A,"&gt;01/04/2021",DATABASE!A:A,"&lt;01/10/2021")&gt;=1,"Đã bảo trì","")</f>
        <v/>
      </c>
      <c r="F157" s="14" t="str">
        <f>if(countifs(DATABASE!I:I,"Bảo trì",DATABASE!E:E,C157,DATABASE!A:A,"&gt;01/10/2021",DATABASE!A:A,"&lt;01/04/2022")=1,"Đã bảo trì","")</f>
        <v/>
      </c>
      <c r="G157" s="14">
        <f>countifs(DATABASE!E:E,C157)</f>
        <v>0</v>
      </c>
    </row>
    <row r="158">
      <c r="A158" s="19">
        <v>22.0</v>
      </c>
      <c r="B158" s="16">
        <v>8.0075504E7</v>
      </c>
      <c r="C158" s="16" t="s">
        <v>311</v>
      </c>
      <c r="D158" s="17" t="s">
        <v>312</v>
      </c>
      <c r="E158" s="14" t="str">
        <f>if(countifs(DATABASE!I:I,"Bảo trì",DATABASE!E:E,C26,DATABASE!A:A,"&gt;01/04/2021",DATABASE!A:A,"&lt;01/10/2021")&gt;=1,"Đã bảo trì","")</f>
        <v/>
      </c>
      <c r="F158" s="14" t="str">
        <f>if(countifs(DATABASE!I:I,"Bảo trì",DATABASE!E:E,C158,DATABASE!A:A,"&gt;01/10/2021",DATABASE!A:A,"&lt;01/04/2022")=1,"Đã bảo trì","")</f>
        <v/>
      </c>
      <c r="G158" s="14">
        <f>countifs(DATABASE!E:E,C158)</f>
        <v>0</v>
      </c>
    </row>
    <row r="159">
      <c r="A159" s="19">
        <v>23.0</v>
      </c>
      <c r="B159" s="16">
        <v>8.0027007E7</v>
      </c>
      <c r="C159" s="16" t="s">
        <v>313</v>
      </c>
      <c r="D159" s="17" t="s">
        <v>314</v>
      </c>
      <c r="E159" s="14" t="str">
        <f>if(countifs(DATABASE!I:I,"Bảo trì",DATABASE!E:E,C27,DATABASE!A:A,"&gt;01/04/2021",DATABASE!A:A,"&lt;01/10/2021")&gt;=1,"Đã bảo trì","")</f>
        <v/>
      </c>
      <c r="F159" s="14" t="str">
        <f>if(countifs(DATABASE!I:I,"Bảo trì",DATABASE!E:E,C159,DATABASE!A:A,"&gt;01/10/2021",DATABASE!A:A,"&lt;01/04/2022")=1,"Đã bảo trì","")</f>
        <v/>
      </c>
      <c r="G159" s="14">
        <f>countifs(DATABASE!E:E,C159)</f>
        <v>0</v>
      </c>
    </row>
    <row r="160">
      <c r="A160" s="19">
        <v>24.0</v>
      </c>
      <c r="B160" s="16">
        <v>8.000301E7</v>
      </c>
      <c r="C160" s="16" t="s">
        <v>315</v>
      </c>
      <c r="D160" s="17" t="s">
        <v>316</v>
      </c>
      <c r="E160" s="14" t="str">
        <f>if(countifs(DATABASE!I:I,"Bảo trì",DATABASE!E:E,C28,DATABASE!A:A,"&gt;01/04/2021",DATABASE!A:A,"&lt;01/10/2021")&gt;=1,"Đã bảo trì","")</f>
        <v/>
      </c>
      <c r="F160" s="14" t="str">
        <f>if(countifs(DATABASE!I:I,"Bảo trì",DATABASE!E:E,C160,DATABASE!A:A,"&gt;01/10/2021",DATABASE!A:A,"&lt;01/04/2022")=1,"Đã bảo trì","")</f>
        <v/>
      </c>
      <c r="G160" s="14">
        <f>countifs(DATABASE!E:E,C160)</f>
        <v>1</v>
      </c>
    </row>
    <row r="161">
      <c r="A161" s="19">
        <v>25.0</v>
      </c>
      <c r="B161" s="16">
        <v>8.0009021E7</v>
      </c>
      <c r="C161" s="16" t="s">
        <v>317</v>
      </c>
      <c r="D161" s="17" t="s">
        <v>318</v>
      </c>
      <c r="E161" s="14" t="str">
        <f>if(countifs(DATABASE!I:I,"Bảo trì",DATABASE!E:E,C29,DATABASE!A:A,"&gt;01/04/2021",DATABASE!A:A,"&lt;01/10/2021")&gt;=1,"Đã bảo trì","")</f>
        <v/>
      </c>
      <c r="F161" s="14" t="str">
        <f>if(countifs(DATABASE!I:I,"Bảo trì",DATABASE!E:E,C161,DATABASE!A:A,"&gt;01/10/2021",DATABASE!A:A,"&lt;01/04/2022")=1,"Đã bảo trì","")</f>
        <v/>
      </c>
      <c r="G161" s="14">
        <f>countifs(DATABASE!E:E,C161)</f>
        <v>1</v>
      </c>
    </row>
    <row r="162">
      <c r="A162" s="19">
        <v>26.0</v>
      </c>
      <c r="B162" s="16">
        <v>8.0051503E7</v>
      </c>
      <c r="C162" s="16" t="s">
        <v>319</v>
      </c>
      <c r="D162" s="17" t="s">
        <v>320</v>
      </c>
      <c r="E162" s="14" t="str">
        <f>if(countifs(DATABASE!I:I,"Bảo trì",DATABASE!E:E,C30,DATABASE!A:A,"&gt;01/04/2021",DATABASE!A:A,"&lt;01/10/2021")&gt;=1,"Đã bảo trì","")</f>
        <v/>
      </c>
      <c r="F162" s="14" t="str">
        <f>if(countifs(DATABASE!I:I,"Bảo trì",DATABASE!E:E,C162,DATABASE!A:A,"&gt;01/10/2021",DATABASE!A:A,"&lt;01/04/2022")=1,"Đã bảo trì","")</f>
        <v/>
      </c>
      <c r="G162" s="14">
        <f>countifs(DATABASE!E:E,C162)</f>
        <v>0</v>
      </c>
    </row>
    <row r="163">
      <c r="A163" s="19">
        <v>27.0</v>
      </c>
      <c r="B163" s="16">
        <v>8.0035508E7</v>
      </c>
      <c r="C163" s="16" t="s">
        <v>321</v>
      </c>
      <c r="D163" s="17" t="s">
        <v>322</v>
      </c>
      <c r="E163" s="14" t="str">
        <f>if(countifs(DATABASE!I:I,"Bảo trì",DATABASE!E:E,C31,DATABASE!A:A,"&gt;01/04/2021",DATABASE!A:A,"&lt;01/10/2021")&gt;=1,"Đã bảo trì","")</f>
        <v/>
      </c>
      <c r="F163" s="14" t="str">
        <f>if(countifs(DATABASE!I:I,"Bảo trì",DATABASE!E:E,C163,DATABASE!A:A,"&gt;01/10/2021",DATABASE!A:A,"&lt;01/04/2022")=1,"Đã bảo trì","")</f>
        <v/>
      </c>
      <c r="G163" s="14">
        <f>countifs(DATABASE!E:E,C163)</f>
        <v>0</v>
      </c>
    </row>
    <row r="164">
      <c r="A164" s="19">
        <v>28.0</v>
      </c>
      <c r="B164" s="16">
        <v>8.0027201E7</v>
      </c>
      <c r="C164" s="16" t="s">
        <v>323</v>
      </c>
      <c r="D164" s="17" t="s">
        <v>324</v>
      </c>
      <c r="E164" s="14" t="str">
        <f>if(countifs(DATABASE!I:I,"Bảo trì",DATABASE!E:E,C32,DATABASE!A:A,"&gt;01/04/2021",DATABASE!A:A,"&lt;01/10/2021")&gt;=1,"Đã bảo trì","")</f>
        <v/>
      </c>
      <c r="F164" s="14" t="str">
        <f>if(countifs(DATABASE!I:I,"Bảo trì",DATABASE!E:E,C164,DATABASE!A:A,"&gt;01/10/2021",DATABASE!A:A,"&lt;01/04/2022")=1,"Đã bảo trì","")</f>
        <v/>
      </c>
      <c r="G164" s="14">
        <f>countifs(DATABASE!E:E,C164)</f>
        <v>0</v>
      </c>
    </row>
    <row r="165">
      <c r="A165" s="19">
        <v>29.0</v>
      </c>
      <c r="B165" s="16">
        <v>8.0076109E7</v>
      </c>
      <c r="C165" s="16" t="s">
        <v>325</v>
      </c>
      <c r="D165" s="17" t="s">
        <v>326</v>
      </c>
      <c r="E165" s="14" t="str">
        <f>if(countifs(DATABASE!I:I,"Bảo trì",DATABASE!E:E,C33,DATABASE!A:A,"&gt;01/04/2021",DATABASE!A:A,"&lt;01/10/2021")&gt;=1,"Đã bảo trì","")</f>
        <v>Đã bảo trì</v>
      </c>
      <c r="F165" s="14" t="str">
        <f>if(countifs(DATABASE!I:I,"Bảo trì",DATABASE!E:E,C165,DATABASE!A:A,"&gt;01/10/2021",DATABASE!A:A,"&lt;01/04/2022")=1,"Đã bảo trì","")</f>
        <v/>
      </c>
      <c r="G165" s="14">
        <f>countifs(DATABASE!E:E,C165)</f>
        <v>2</v>
      </c>
    </row>
    <row r="166">
      <c r="A166" s="19">
        <v>30.0</v>
      </c>
      <c r="B166" s="16">
        <v>8.007611E7</v>
      </c>
      <c r="C166" s="16" t="s">
        <v>327</v>
      </c>
      <c r="D166" s="17" t="s">
        <v>328</v>
      </c>
      <c r="E166" s="14" t="str">
        <f>if(countifs(DATABASE!I:I,"Bảo trì",DATABASE!E:E,C34,DATABASE!A:A,"&gt;01/04/2021",DATABASE!A:A,"&lt;01/10/2021")&gt;=1,"Đã bảo trì","")</f>
        <v/>
      </c>
      <c r="F166" s="14" t="str">
        <f>if(countifs(DATABASE!I:I,"Bảo trì",DATABASE!E:E,C166,DATABASE!A:A,"&gt;01/10/2021",DATABASE!A:A,"&lt;01/04/2022")=1,"Đã bảo trì","")</f>
        <v/>
      </c>
      <c r="G166" s="14">
        <f>countifs(DATABASE!E:E,C166)</f>
        <v>2</v>
      </c>
    </row>
    <row r="167">
      <c r="A167" s="19">
        <v>31.0</v>
      </c>
      <c r="B167" s="16">
        <v>8.0003101E7</v>
      </c>
      <c r="C167" s="16" t="s">
        <v>329</v>
      </c>
      <c r="D167" s="17" t="s">
        <v>330</v>
      </c>
      <c r="E167" s="14" t="str">
        <f>if(countifs(DATABASE!I:I,"Bảo trì",DATABASE!E:E,C35,DATABASE!A:A,"&gt;01/04/2021",DATABASE!A:A,"&lt;01/10/2021")&gt;=1,"Đã bảo trì","")</f>
        <v/>
      </c>
      <c r="F167" s="14" t="str">
        <f>if(countifs(DATABASE!I:I,"Bảo trì",DATABASE!E:E,C167,DATABASE!A:A,"&gt;01/10/2021",DATABASE!A:A,"&lt;01/04/2022")=1,"Đã bảo trì","")</f>
        <v/>
      </c>
      <c r="G167" s="14">
        <f>countifs(DATABASE!E:E,C167)</f>
        <v>2</v>
      </c>
    </row>
    <row r="168">
      <c r="A168" s="19">
        <v>32.0</v>
      </c>
      <c r="B168" s="16">
        <v>8.0000219E7</v>
      </c>
      <c r="C168" s="16" t="s">
        <v>331</v>
      </c>
      <c r="D168" s="17" t="s">
        <v>332</v>
      </c>
      <c r="E168" s="14" t="str">
        <f>if(countifs(DATABASE!I:I,"Bảo trì",DATABASE!E:E,C36,DATABASE!A:A,"&gt;01/04/2021",DATABASE!A:A,"&lt;01/10/2021")&gt;=1,"Đã bảo trì","")</f>
        <v/>
      </c>
      <c r="F168" s="14" t="str">
        <f>if(countifs(DATABASE!I:I,"Bảo trì",DATABASE!E:E,C168,DATABASE!A:A,"&gt;01/10/2021",DATABASE!A:A,"&lt;01/04/2022")=1,"Đã bảo trì","")</f>
        <v/>
      </c>
      <c r="G168" s="14">
        <f>countifs(DATABASE!E:E,C168)</f>
        <v>2</v>
      </c>
    </row>
    <row r="169">
      <c r="A169" s="19">
        <v>33.0</v>
      </c>
      <c r="B169" s="16">
        <v>8.0034101E7</v>
      </c>
      <c r="C169" s="16" t="s">
        <v>333</v>
      </c>
      <c r="D169" s="17" t="s">
        <v>334</v>
      </c>
      <c r="E169" s="14" t="str">
        <f>if(countifs(DATABASE!I:I,"Bảo trì",DATABASE!E:E,C37,DATABASE!A:A,"&gt;01/04/2021",DATABASE!A:A,"&lt;01/10/2021")&gt;=1,"Đã bảo trì","")</f>
        <v>Đã bảo trì</v>
      </c>
      <c r="F169" s="14" t="str">
        <f>if(countifs(DATABASE!I:I,"Bảo trì",DATABASE!E:E,C169,DATABASE!A:A,"&gt;01/10/2021",DATABASE!A:A,"&lt;01/04/2022")=1,"Đã bảo trì","")</f>
        <v/>
      </c>
      <c r="G169" s="14">
        <f>countifs(DATABASE!E:E,C169)</f>
        <v>0</v>
      </c>
    </row>
    <row r="170">
      <c r="A170" s="19">
        <v>34.0</v>
      </c>
      <c r="B170" s="16">
        <v>8.0080308E7</v>
      </c>
      <c r="C170" s="16" t="s">
        <v>335</v>
      </c>
      <c r="D170" s="17" t="s">
        <v>336</v>
      </c>
      <c r="E170" s="14" t="str">
        <f>if(countifs(DATABASE!I:I,"Bảo trì",DATABASE!E:E,C38,DATABASE!A:A,"&gt;01/04/2021",DATABASE!A:A,"&lt;01/10/2021")&gt;=1,"Đã bảo trì","")</f>
        <v/>
      </c>
      <c r="F170" s="14" t="str">
        <f>if(countifs(DATABASE!I:I,"Bảo trì",DATABASE!E:E,C170,DATABASE!A:A,"&gt;01/10/2021",DATABASE!A:A,"&lt;01/04/2022")=1,"Đã bảo trì","")</f>
        <v/>
      </c>
      <c r="G170" s="14">
        <f>countifs(DATABASE!E:E,C170)</f>
        <v>0</v>
      </c>
    </row>
    <row r="171">
      <c r="A171" s="19">
        <v>35.0</v>
      </c>
      <c r="B171" s="16">
        <v>8.0080301E7</v>
      </c>
      <c r="C171" s="16" t="s">
        <v>337</v>
      </c>
      <c r="D171" s="17" t="s">
        <v>338</v>
      </c>
      <c r="E171" s="14" t="str">
        <f>if(countifs(DATABASE!I:I,"Bảo trì",DATABASE!E:E,C39,DATABASE!A:A,"&gt;01/04/2021",DATABASE!A:A,"&lt;01/10/2021")&gt;=1,"Đã bảo trì","")</f>
        <v/>
      </c>
      <c r="F171" s="14" t="str">
        <f>if(countifs(DATABASE!I:I,"Bảo trì",DATABASE!E:E,C171,DATABASE!A:A,"&gt;01/10/2021",DATABASE!A:A,"&lt;01/04/2022")=1,"Đã bảo trì","")</f>
        <v/>
      </c>
      <c r="G171" s="14">
        <f>countifs(DATABASE!E:E,C171)</f>
        <v>0</v>
      </c>
    </row>
    <row r="172">
      <c r="A172" s="19">
        <v>36.0</v>
      </c>
      <c r="B172" s="16">
        <v>8.0050407E7</v>
      </c>
      <c r="C172" s="16" t="s">
        <v>339</v>
      </c>
      <c r="D172" s="17" t="s">
        <v>340</v>
      </c>
      <c r="E172" s="14" t="str">
        <f>if(countifs(DATABASE!I:I,"Bảo trì",DATABASE!E:E,C40,DATABASE!A:A,"&gt;01/04/2021",DATABASE!A:A,"&lt;01/10/2021")&gt;=1,"Đã bảo trì","")</f>
        <v/>
      </c>
      <c r="F172" s="14" t="str">
        <f>if(countifs(DATABASE!I:I,"Bảo trì",DATABASE!E:E,C172,DATABASE!A:A,"&gt;01/10/2021",DATABASE!A:A,"&lt;01/04/2022")=1,"Đã bảo trì","")</f>
        <v/>
      </c>
      <c r="G172" s="14">
        <f>countifs(DATABASE!E:E,C172)</f>
        <v>0</v>
      </c>
    </row>
    <row r="173">
      <c r="A173" s="19">
        <v>37.0</v>
      </c>
      <c r="B173" s="16">
        <v>8.0051003E7</v>
      </c>
      <c r="C173" s="16" t="s">
        <v>341</v>
      </c>
      <c r="D173" s="17" t="s">
        <v>342</v>
      </c>
      <c r="E173" s="14" t="str">
        <f>if(countifs(DATABASE!I:I,"Bảo trì",DATABASE!E:E,C41,DATABASE!A:A,"&gt;01/04/2021",DATABASE!A:A,"&lt;01/10/2021")&gt;=1,"Đã bảo trì","")</f>
        <v/>
      </c>
      <c r="F173" s="14" t="str">
        <f>if(countifs(DATABASE!I:I,"Bảo trì",DATABASE!E:E,C173,DATABASE!A:A,"&gt;01/10/2021",DATABASE!A:A,"&lt;01/04/2022")=1,"Đã bảo trì","")</f>
        <v/>
      </c>
      <c r="G173" s="14">
        <f>countifs(DATABASE!E:E,C173)</f>
        <v>0</v>
      </c>
    </row>
    <row r="174">
      <c r="A174" s="19">
        <v>38.0</v>
      </c>
      <c r="B174" s="16">
        <v>8.0030202E7</v>
      </c>
      <c r="C174" s="16" t="s">
        <v>343</v>
      </c>
      <c r="D174" s="17" t="s">
        <v>344</v>
      </c>
      <c r="E174" s="14" t="str">
        <f>if(countifs(DATABASE!I:I,"Bảo trì",DATABASE!E:E,C42,DATABASE!A:A,"&gt;01/04/2021",DATABASE!A:A,"&lt;01/10/2021")&gt;=1,"Đã bảo trì","")</f>
        <v/>
      </c>
      <c r="F174" s="14" t="str">
        <f>if(countifs(DATABASE!I:I,"Bảo trì",DATABASE!E:E,C174,DATABASE!A:A,"&gt;01/10/2021",DATABASE!A:A,"&lt;01/04/2022")=1,"Đã bảo trì","")</f>
        <v/>
      </c>
      <c r="G174" s="14">
        <f>countifs(DATABASE!E:E,C174)</f>
        <v>0</v>
      </c>
    </row>
    <row r="175">
      <c r="A175" s="19">
        <v>39.0</v>
      </c>
      <c r="B175" s="16">
        <v>8.0040112E7</v>
      </c>
      <c r="C175" s="16" t="s">
        <v>345</v>
      </c>
      <c r="D175" s="17" t="s">
        <v>346</v>
      </c>
      <c r="E175" s="14" t="str">
        <f>if(countifs(DATABASE!I:I,"Bảo trì",DATABASE!E:E,C43,DATABASE!A:A,"&gt;01/04/2021",DATABASE!A:A,"&lt;01/10/2021")&gt;=1,"Đã bảo trì","")</f>
        <v/>
      </c>
      <c r="F175" s="14" t="str">
        <f>if(countifs(DATABASE!I:I,"Bảo trì",DATABASE!E:E,C175,DATABASE!A:A,"&gt;01/10/2021",DATABASE!A:A,"&lt;01/04/2022")=1,"Đã bảo trì","")</f>
        <v/>
      </c>
      <c r="G175" s="14">
        <f>countifs(DATABASE!E:E,C175)</f>
        <v>0</v>
      </c>
    </row>
    <row r="176">
      <c r="A176" s="19">
        <v>40.0</v>
      </c>
      <c r="B176" s="16">
        <v>8.0040113E7</v>
      </c>
      <c r="C176" s="16" t="s">
        <v>347</v>
      </c>
      <c r="D176" s="17" t="s">
        <v>348</v>
      </c>
      <c r="E176" s="14" t="str">
        <f>if(countifs(DATABASE!I:I,"Bảo trì",DATABASE!E:E,C44,DATABASE!A:A,"&gt;01/04/2021",DATABASE!A:A,"&lt;01/10/2021")&gt;=1,"Đã bảo trì","")</f>
        <v/>
      </c>
      <c r="F176" s="14" t="str">
        <f>if(countifs(DATABASE!I:I,"Bảo trì",DATABASE!E:E,C176,DATABASE!A:A,"&gt;01/10/2021",DATABASE!A:A,"&lt;01/04/2022")=1,"Đã bảo trì","")</f>
        <v/>
      </c>
      <c r="G176" s="14">
        <f>countifs(DATABASE!E:E,C176)</f>
        <v>0</v>
      </c>
    </row>
    <row r="177">
      <c r="A177" s="19">
        <v>41.0</v>
      </c>
      <c r="B177" s="16">
        <v>8.0085001E7</v>
      </c>
      <c r="C177" s="16" t="s">
        <v>349</v>
      </c>
      <c r="D177" s="17" t="s">
        <v>350</v>
      </c>
      <c r="E177" s="14" t="str">
        <f>if(countifs(DATABASE!I:I,"Bảo trì",DATABASE!E:E,C45,DATABASE!A:A,"&gt;01/04/2021",DATABASE!A:A,"&lt;01/10/2021")&gt;=1,"Đã bảo trì","")</f>
        <v/>
      </c>
      <c r="F177" s="14" t="str">
        <f>if(countifs(DATABASE!I:I,"Bảo trì",DATABASE!E:E,C177,DATABASE!A:A,"&gt;01/10/2021",DATABASE!A:A,"&lt;01/04/2022")=1,"Đã bảo trì","")</f>
        <v/>
      </c>
      <c r="G177" s="14">
        <f>countifs(DATABASE!E:E,C177)</f>
        <v>0</v>
      </c>
    </row>
    <row r="178">
      <c r="A178" s="19">
        <v>42.0</v>
      </c>
      <c r="B178" s="16">
        <v>8.0070901E7</v>
      </c>
      <c r="C178" s="16" t="s">
        <v>351</v>
      </c>
      <c r="D178" s="17" t="s">
        <v>352</v>
      </c>
      <c r="E178" s="14" t="str">
        <f>if(countifs(DATABASE!I:I,"Bảo trì",DATABASE!E:E,C46,DATABASE!A:A,"&gt;01/04/2021",DATABASE!A:A,"&lt;01/10/2021")&gt;=1,"Đã bảo trì","")</f>
        <v>Đã bảo trì</v>
      </c>
      <c r="F178" s="14" t="str">
        <f>if(countifs(DATABASE!I:I,"Bảo trì",DATABASE!E:E,C178,DATABASE!A:A,"&gt;01/10/2021",DATABASE!A:A,"&lt;01/04/2022")=1,"Đã bảo trì","")</f>
        <v/>
      </c>
      <c r="G178" s="14">
        <f>countifs(DATABASE!E:E,C178)</f>
        <v>0</v>
      </c>
    </row>
    <row r="179">
      <c r="A179" s="19">
        <v>43.0</v>
      </c>
      <c r="B179" s="16">
        <v>8.0085002E7</v>
      </c>
      <c r="C179" s="16" t="s">
        <v>353</v>
      </c>
      <c r="D179" s="17" t="s">
        <v>354</v>
      </c>
      <c r="E179" s="14" t="str">
        <f>if(countifs(DATABASE!I:I,"Bảo trì",DATABASE!E:E,C47,DATABASE!A:A,"&gt;01/04/2021",DATABASE!A:A,"&lt;01/10/2021")&gt;=1,"Đã bảo trì","")</f>
        <v/>
      </c>
      <c r="F179" s="14" t="str">
        <f>if(countifs(DATABASE!I:I,"Bảo trì",DATABASE!E:E,C179,DATABASE!A:A,"&gt;01/10/2021",DATABASE!A:A,"&lt;01/04/2022")=1,"Đã bảo trì","")</f>
        <v/>
      </c>
      <c r="G179" s="14">
        <f>countifs(DATABASE!E:E,C179)</f>
        <v>0</v>
      </c>
    </row>
    <row r="180">
      <c r="A180" s="19">
        <v>44.0</v>
      </c>
      <c r="B180" s="16">
        <v>8.0040302E7</v>
      </c>
      <c r="C180" s="16" t="s">
        <v>355</v>
      </c>
      <c r="D180" s="17" t="s">
        <v>356</v>
      </c>
      <c r="E180" s="14" t="str">
        <f>if(countifs(DATABASE!I:I,"Bảo trì",DATABASE!E:E,C48,DATABASE!A:A,"&gt;01/04/2021",DATABASE!A:A,"&lt;01/10/2021")&gt;=1,"Đã bảo trì","")</f>
        <v/>
      </c>
      <c r="F180" s="14" t="str">
        <f>if(countifs(DATABASE!I:I,"Bảo trì",DATABASE!E:E,C180,DATABASE!A:A,"&gt;01/10/2021",DATABASE!A:A,"&lt;01/04/2022")=1,"Đã bảo trì","")</f>
        <v/>
      </c>
      <c r="G180" s="14">
        <f>countifs(DATABASE!E:E,C180)</f>
        <v>0</v>
      </c>
    </row>
    <row r="181">
      <c r="A181" s="19">
        <v>45.0</v>
      </c>
      <c r="B181" s="16">
        <v>8.0022002E7</v>
      </c>
      <c r="C181" s="16" t="s">
        <v>357</v>
      </c>
      <c r="D181" s="17" t="s">
        <v>358</v>
      </c>
      <c r="E181" s="14" t="str">
        <f>if(countifs(DATABASE!I:I,"Bảo trì",DATABASE!E:E,C49,DATABASE!A:A,"&gt;01/04/2021",DATABASE!A:A,"&lt;01/10/2021")&gt;=1,"Đã bảo trì","")</f>
        <v/>
      </c>
      <c r="F181" s="14" t="str">
        <f>if(countifs(DATABASE!I:I,"Bảo trì",DATABASE!E:E,C181,DATABASE!A:A,"&gt;01/10/2021",DATABASE!A:A,"&lt;01/04/2022")=1,"Đã bảo trì","")</f>
        <v/>
      </c>
      <c r="G181" s="14">
        <f>countifs(DATABASE!E:E,C181)</f>
        <v>0</v>
      </c>
    </row>
    <row r="182">
      <c r="A182" s="19">
        <v>46.0</v>
      </c>
      <c r="B182" s="16">
        <v>8.0020119E7</v>
      </c>
      <c r="C182" s="16" t="s">
        <v>359</v>
      </c>
      <c r="D182" s="17" t="s">
        <v>360</v>
      </c>
      <c r="E182" s="14" t="str">
        <f>if(countifs(DATABASE!I:I,"Bảo trì",DATABASE!E:E,C50,DATABASE!A:A,"&gt;01/04/2021",DATABASE!A:A,"&lt;01/10/2021")&gt;=1,"Đã bảo trì","")</f>
        <v/>
      </c>
      <c r="F182" s="14" t="str">
        <f>if(countifs(DATABASE!I:I,"Bảo trì",DATABASE!E:E,C182,DATABASE!A:A,"&gt;01/10/2021",DATABASE!A:A,"&lt;01/04/2022")=1,"Đã bảo trì","")</f>
        <v/>
      </c>
      <c r="G182" s="14">
        <f>countifs(DATABASE!E:E,C182)</f>
        <v>0</v>
      </c>
    </row>
    <row r="183">
      <c r="A183" s="19">
        <v>47.0</v>
      </c>
      <c r="B183" s="16">
        <v>8.0010118E7</v>
      </c>
      <c r="C183" s="16" t="s">
        <v>361</v>
      </c>
      <c r="D183" s="17" t="s">
        <v>362</v>
      </c>
      <c r="E183" s="14" t="str">
        <f>if(countifs(DATABASE!I:I,"Bảo trì",DATABASE!E:E,C51,DATABASE!A:A,"&gt;01/04/2021",DATABASE!A:A,"&lt;01/10/2021")&gt;=1,"Đã bảo trì","")</f>
        <v/>
      </c>
      <c r="F183" s="14" t="str">
        <f>if(countifs(DATABASE!I:I,"Bảo trì",DATABASE!E:E,C183,DATABASE!A:A,"&gt;01/10/2021",DATABASE!A:A,"&lt;01/04/2022")=1,"Đã bảo trì","")</f>
        <v/>
      </c>
      <c r="G183" s="14">
        <f>countifs(DATABASE!E:E,C183)</f>
        <v>0</v>
      </c>
    </row>
    <row r="184">
      <c r="A184" s="19">
        <v>48.0</v>
      </c>
      <c r="B184" s="16">
        <v>8.0010119E7</v>
      </c>
      <c r="C184" s="16" t="s">
        <v>363</v>
      </c>
      <c r="D184" s="17" t="s">
        <v>364</v>
      </c>
      <c r="E184" s="14" t="str">
        <f>if(countifs(DATABASE!I:I,"Bảo trì",DATABASE!E:E,C52,DATABASE!A:A,"&gt;01/04/2021",DATABASE!A:A,"&lt;01/10/2021")&gt;=1,"Đã bảo trì","")</f>
        <v/>
      </c>
      <c r="F184" s="14" t="str">
        <f>if(countifs(DATABASE!I:I,"Bảo trì",DATABASE!E:E,C184,DATABASE!A:A,"&gt;01/10/2021",DATABASE!A:A,"&lt;01/04/2022")=1,"Đã bảo trì","")</f>
        <v/>
      </c>
      <c r="G184" s="14">
        <f>countifs(DATABASE!E:E,C184)</f>
        <v>0</v>
      </c>
    </row>
    <row r="185">
      <c r="A185" s="19">
        <v>49.0</v>
      </c>
      <c r="B185" s="16">
        <v>8.0010505E7</v>
      </c>
      <c r="C185" s="16" t="s">
        <v>365</v>
      </c>
      <c r="D185" s="17" t="s">
        <v>366</v>
      </c>
      <c r="E185" s="14" t="str">
        <f>if(countifs(DATABASE!I:I,"Bảo trì",DATABASE!E:E,C53,DATABASE!A:A,"&gt;01/04/2021",DATABASE!A:A,"&lt;01/10/2021")&gt;=1,"Đã bảo trì","")</f>
        <v/>
      </c>
      <c r="F185" s="14" t="str">
        <f>if(countifs(DATABASE!I:I,"Bảo trì",DATABASE!E:E,C185,DATABASE!A:A,"&gt;01/10/2021",DATABASE!A:A,"&lt;01/04/2022")=1,"Đã bảo trì","")</f>
        <v/>
      </c>
      <c r="G185" s="14">
        <f>countifs(DATABASE!E:E,C185)</f>
        <v>0</v>
      </c>
    </row>
    <row r="186">
      <c r="A186" s="19">
        <v>50.0</v>
      </c>
      <c r="B186" s="16">
        <v>8.0072015E7</v>
      </c>
      <c r="C186" s="16" t="s">
        <v>367</v>
      </c>
      <c r="D186" s="17" t="s">
        <v>368</v>
      </c>
      <c r="E186" s="14" t="str">
        <f>if(countifs(DATABASE!I:I,"Bảo trì",DATABASE!E:E,C54,DATABASE!A:A,"&gt;01/04/2021",DATABASE!A:A,"&lt;01/10/2021")&gt;=1,"Đã bảo trì","")</f>
        <v/>
      </c>
      <c r="F186" s="14" t="str">
        <f>if(countifs(DATABASE!I:I,"Bảo trì",DATABASE!E:E,C186,DATABASE!A:A,"&gt;01/10/2021",DATABASE!A:A,"&lt;01/04/2022")=1,"Đã bảo trì","")</f>
        <v/>
      </c>
      <c r="G186" s="14">
        <f>countifs(DATABASE!E:E,C186)</f>
        <v>0</v>
      </c>
    </row>
    <row r="187">
      <c r="A187" s="19">
        <v>51.0</v>
      </c>
      <c r="B187" s="16">
        <v>8.0046401E7</v>
      </c>
      <c r="C187" s="16" t="s">
        <v>369</v>
      </c>
      <c r="D187" s="17" t="s">
        <v>370</v>
      </c>
      <c r="E187" s="14" t="str">
        <f>if(countifs(DATABASE!I:I,"Bảo trì",DATABASE!E:E,C55,DATABASE!A:A,"&gt;01/04/2021",DATABASE!A:A,"&lt;01/10/2021")&gt;=1,"Đã bảo trì","")</f>
        <v/>
      </c>
      <c r="F187" s="14" t="str">
        <f>if(countifs(DATABASE!I:I,"Bảo trì",DATABASE!E:E,C187,DATABASE!A:A,"&gt;01/10/2021",DATABASE!A:A,"&lt;01/04/2022")=1,"Đã bảo trì","")</f>
        <v/>
      </c>
      <c r="G187" s="14">
        <f>countifs(DATABASE!E:E,C187)</f>
        <v>0</v>
      </c>
    </row>
    <row r="188">
      <c r="A188" s="19">
        <v>52.0</v>
      </c>
      <c r="B188" s="16">
        <v>8.0046107E7</v>
      </c>
      <c r="C188" s="16" t="s">
        <v>371</v>
      </c>
      <c r="D188" s="17" t="s">
        <v>372</v>
      </c>
      <c r="E188" s="14" t="str">
        <f>if(countifs(DATABASE!I:I,"Bảo trì",DATABASE!E:E,C56,DATABASE!A:A,"&gt;01/04/2021",DATABASE!A:A,"&lt;01/10/2021")&gt;=1,"Đã bảo trì","")</f>
        <v>Đã bảo trì</v>
      </c>
      <c r="F188" s="14" t="str">
        <f>if(countifs(DATABASE!I:I,"Bảo trì",DATABASE!E:E,C188,DATABASE!A:A,"&gt;01/10/2021",DATABASE!A:A,"&lt;01/04/2022")=1,"Đã bảo trì","")</f>
        <v/>
      </c>
      <c r="G188" s="14">
        <f>countifs(DATABASE!E:E,C188)</f>
        <v>0</v>
      </c>
    </row>
    <row r="189">
      <c r="A189" s="19">
        <v>53.0</v>
      </c>
      <c r="B189" s="16">
        <v>8.0014301E7</v>
      </c>
      <c r="C189" s="16" t="s">
        <v>373</v>
      </c>
      <c r="D189" s="17" t="s">
        <v>374</v>
      </c>
      <c r="E189" s="14" t="str">
        <f>if(countifs(DATABASE!I:I,"Bảo trì",DATABASE!E:E,C57,DATABASE!A:A,"&gt;01/04/2021",DATABASE!A:A,"&lt;01/10/2021")&gt;=1,"Đã bảo trì","")</f>
        <v/>
      </c>
      <c r="F189" s="14" t="str">
        <f>if(countifs(DATABASE!I:I,"Bảo trì",DATABASE!E:E,C189,DATABASE!A:A,"&gt;01/10/2021",DATABASE!A:A,"&lt;01/04/2022")=1,"Đã bảo trì","")</f>
        <v/>
      </c>
      <c r="G189" s="14">
        <f>countifs(DATABASE!E:E,C189)</f>
        <v>0</v>
      </c>
    </row>
    <row r="190">
      <c r="A190" s="19">
        <v>54.0</v>
      </c>
      <c r="B190" s="16">
        <v>8.0014401E7</v>
      </c>
      <c r="C190" s="16" t="s">
        <v>375</v>
      </c>
      <c r="D190" s="17" t="s">
        <v>376</v>
      </c>
      <c r="E190" s="14" t="str">
        <f>if(countifs(DATABASE!I:I,"Bảo trì",DATABASE!E:E,C58,DATABASE!A:A,"&gt;01/04/2021",DATABASE!A:A,"&lt;01/10/2021")&gt;=1,"Đã bảo trì","")</f>
        <v/>
      </c>
      <c r="F190" s="14" t="str">
        <f>if(countifs(DATABASE!I:I,"Bảo trì",DATABASE!E:E,C190,DATABASE!A:A,"&gt;01/10/2021",DATABASE!A:A,"&lt;01/04/2022")=1,"Đã bảo trì","")</f>
        <v/>
      </c>
      <c r="G190" s="14">
        <f>countifs(DATABASE!E:E,C190)</f>
        <v>0</v>
      </c>
    </row>
    <row r="191">
      <c r="A191" s="19">
        <v>55.0</v>
      </c>
      <c r="B191" s="16">
        <v>8.0066201E7</v>
      </c>
      <c r="C191" s="16" t="s">
        <v>377</v>
      </c>
      <c r="D191" s="17" t="s">
        <v>378</v>
      </c>
      <c r="E191" s="14" t="str">
        <f>if(countifs(DATABASE!I:I,"Bảo trì",DATABASE!E:E,C59,DATABASE!A:A,"&gt;01/04/2021",DATABASE!A:A,"&lt;01/10/2021")&gt;=1,"Đã bảo trì","")</f>
        <v/>
      </c>
      <c r="F191" s="14" t="str">
        <f>if(countifs(DATABASE!I:I,"Bảo trì",DATABASE!E:E,C191,DATABASE!A:A,"&gt;01/10/2021",DATABASE!A:A,"&lt;01/04/2022")=1,"Đã bảo trì","")</f>
        <v/>
      </c>
      <c r="G191" s="14">
        <f>countifs(DATABASE!E:E,C191)</f>
        <v>0</v>
      </c>
    </row>
    <row r="192">
      <c r="A192" s="19">
        <v>56.0</v>
      </c>
      <c r="B192" s="16">
        <v>8.0066101E7</v>
      </c>
      <c r="C192" s="16" t="s">
        <v>379</v>
      </c>
      <c r="D192" s="17" t="s">
        <v>380</v>
      </c>
      <c r="E192" s="14" t="str">
        <f>if(countifs(DATABASE!I:I,"Bảo trì",DATABASE!E:E,C60,DATABASE!A:A,"&gt;01/04/2021",DATABASE!A:A,"&lt;01/10/2021")&gt;=1,"Đã bảo trì","")</f>
        <v/>
      </c>
      <c r="F192" s="14" t="str">
        <f>if(countifs(DATABASE!I:I,"Bảo trì",DATABASE!E:E,C192,DATABASE!A:A,"&gt;01/10/2021",DATABASE!A:A,"&lt;01/04/2022")=1,"Đã bảo trì","")</f>
        <v/>
      </c>
      <c r="G192" s="14">
        <f>countifs(DATABASE!E:E,C192)</f>
        <v>0</v>
      </c>
    </row>
    <row r="193">
      <c r="A193" s="19">
        <v>57.0</v>
      </c>
      <c r="B193" s="16">
        <v>8.0076601E7</v>
      </c>
      <c r="C193" s="16" t="s">
        <v>381</v>
      </c>
      <c r="D193" s="17" t="s">
        <v>382</v>
      </c>
      <c r="E193" s="14" t="str">
        <f>if(countifs(DATABASE!I:I,"Bảo trì",DATABASE!E:E,C61,DATABASE!A:A,"&gt;01/04/2021",DATABASE!A:A,"&lt;01/10/2021")&gt;=1,"Đã bảo trì","")</f>
        <v/>
      </c>
      <c r="F193" s="14" t="str">
        <f>if(countifs(DATABASE!I:I,"Bảo trì",DATABASE!E:E,C193,DATABASE!A:A,"&gt;01/10/2021",DATABASE!A:A,"&lt;01/04/2022")=1,"Đã bảo trì","")</f>
        <v/>
      </c>
      <c r="G193" s="14">
        <f>countifs(DATABASE!E:E,C193)</f>
        <v>0</v>
      </c>
    </row>
    <row r="194">
      <c r="A194" s="19">
        <v>58.0</v>
      </c>
      <c r="B194" s="16">
        <v>8.0056007E7</v>
      </c>
      <c r="C194" s="16" t="s">
        <v>383</v>
      </c>
      <c r="D194" s="17" t="s">
        <v>384</v>
      </c>
      <c r="E194" s="14" t="str">
        <f>if(countifs(DATABASE!I:I,"Bảo trì",DATABASE!E:E,C62,DATABASE!A:A,"&gt;01/04/2021",DATABASE!A:A,"&lt;01/10/2021")&gt;=1,"Đã bảo trì","")</f>
        <v/>
      </c>
      <c r="F194" s="14" t="str">
        <f>if(countifs(DATABASE!I:I,"Bảo trì",DATABASE!E:E,C194,DATABASE!A:A,"&gt;01/10/2021",DATABASE!A:A,"&lt;01/04/2022")=1,"Đã bảo trì","")</f>
        <v/>
      </c>
      <c r="G194" s="14">
        <f>countifs(DATABASE!E:E,C194)</f>
        <v>0</v>
      </c>
    </row>
    <row r="195">
      <c r="A195" s="19">
        <v>59.0</v>
      </c>
      <c r="B195" s="16">
        <v>8.0086001E7</v>
      </c>
      <c r="C195" s="16" t="s">
        <v>385</v>
      </c>
      <c r="D195" s="17" t="s">
        <v>386</v>
      </c>
      <c r="E195" s="14" t="str">
        <f>if(countifs(DATABASE!I:I,"Bảo trì",DATABASE!E:E,C63,DATABASE!A:A,"&gt;01/04/2021",DATABASE!A:A,"&lt;01/10/2021")&gt;=1,"Đã bảo trì","")</f>
        <v/>
      </c>
      <c r="F195" s="14" t="str">
        <f>if(countifs(DATABASE!I:I,"Bảo trì",DATABASE!E:E,C195,DATABASE!A:A,"&gt;01/10/2021",DATABASE!A:A,"&lt;01/04/2022")=1,"Đã bảo trì","")</f>
        <v/>
      </c>
      <c r="G195" s="14">
        <f>countifs(DATABASE!E:E,C195)</f>
        <v>0</v>
      </c>
    </row>
    <row r="196">
      <c r="A196" s="19">
        <v>60.0</v>
      </c>
      <c r="B196" s="16">
        <v>8.0067001E7</v>
      </c>
      <c r="C196" s="16" t="s">
        <v>387</v>
      </c>
      <c r="D196" s="17" t="s">
        <v>388</v>
      </c>
      <c r="E196" s="14" t="str">
        <f>if(countifs(DATABASE!I:I,"Bảo trì",DATABASE!E:E,C64,DATABASE!A:A,"&gt;01/04/2021",DATABASE!A:A,"&lt;01/10/2021")&gt;=1,"Đã bảo trì","")</f>
        <v/>
      </c>
      <c r="F196" s="14" t="str">
        <f>if(countifs(DATABASE!I:I,"Bảo trì",DATABASE!E:E,C196,DATABASE!A:A,"&gt;01/10/2021",DATABASE!A:A,"&lt;01/04/2022")=1,"Đã bảo trì","")</f>
        <v/>
      </c>
      <c r="G196" s="14">
        <f>countifs(DATABASE!E:E,C196)</f>
        <v>0</v>
      </c>
    </row>
    <row r="197">
      <c r="A197" s="19">
        <v>61.0</v>
      </c>
      <c r="B197" s="16">
        <v>8.0085501E7</v>
      </c>
      <c r="C197" s="16" t="s">
        <v>389</v>
      </c>
      <c r="D197" s="17" t="s">
        <v>390</v>
      </c>
      <c r="E197" s="14" t="str">
        <f>if(countifs(DATABASE!I:I,"Bảo trì",DATABASE!E:E,C65,DATABASE!A:A,"&gt;01/04/2021",DATABASE!A:A,"&lt;01/10/2021")&gt;=1,"Đã bảo trì","")</f>
        <v/>
      </c>
      <c r="F197" s="14" t="str">
        <f>if(countifs(DATABASE!I:I,"Bảo trì",DATABASE!E:E,C197,DATABASE!A:A,"&gt;01/10/2021",DATABASE!A:A,"&lt;01/04/2022")=1,"Đã bảo trì","")</f>
        <v/>
      </c>
      <c r="G197" s="14">
        <f>countifs(DATABASE!E:E,C197)</f>
        <v>0</v>
      </c>
    </row>
    <row r="198">
      <c r="A198" s="19">
        <v>62.0</v>
      </c>
      <c r="B198" s="16">
        <v>8.0067002E7</v>
      </c>
      <c r="C198" s="16" t="s">
        <v>391</v>
      </c>
      <c r="D198" s="17" t="s">
        <v>392</v>
      </c>
      <c r="E198" s="14" t="str">
        <f>if(countifs(DATABASE!I:I,"Bảo trì",DATABASE!E:E,C66,DATABASE!A:A,"&gt;01/04/2021",DATABASE!A:A,"&lt;01/10/2021")&gt;=1,"Đã bảo trì","")</f>
        <v/>
      </c>
      <c r="F198" s="14" t="str">
        <f>if(countifs(DATABASE!I:I,"Bảo trì",DATABASE!E:E,C198,DATABASE!A:A,"&gt;01/10/2021",DATABASE!A:A,"&lt;01/04/2022")=1,"Đã bảo trì","")</f>
        <v/>
      </c>
      <c r="G198" s="14">
        <f>countifs(DATABASE!E:E,C198)</f>
        <v>0</v>
      </c>
    </row>
    <row r="199">
      <c r="A199" s="19">
        <v>63.0</v>
      </c>
      <c r="B199" s="16">
        <v>8.0033005E7</v>
      </c>
      <c r="C199" s="16" t="s">
        <v>393</v>
      </c>
      <c r="D199" s="17" t="s">
        <v>394</v>
      </c>
      <c r="E199" s="14" t="str">
        <f>if(countifs(DATABASE!I:I,"Bảo trì",DATABASE!E:E,C67,DATABASE!A:A,"&gt;01/04/2021",DATABASE!A:A,"&lt;01/10/2021")&gt;=1,"Đã bảo trì","")</f>
        <v/>
      </c>
      <c r="F199" s="14" t="str">
        <f>if(countifs(DATABASE!I:I,"Bảo trì",DATABASE!E:E,C199,DATABASE!A:A,"&gt;01/10/2021",DATABASE!A:A,"&lt;01/04/2022")=1,"Đã bảo trì","")</f>
        <v/>
      </c>
      <c r="G199" s="14">
        <f>countifs(DATABASE!E:E,C199)</f>
        <v>0</v>
      </c>
    </row>
    <row r="200">
      <c r="A200" s="20"/>
      <c r="E200" s="21"/>
      <c r="F200" s="21"/>
      <c r="G200" s="21"/>
    </row>
    <row r="201">
      <c r="A201" s="20"/>
      <c r="E201" s="21"/>
      <c r="F201" s="21"/>
      <c r="G201" s="21"/>
    </row>
    <row r="202">
      <c r="A202" s="20"/>
      <c r="E202" s="21"/>
      <c r="F202" s="21"/>
      <c r="G202" s="21"/>
    </row>
    <row r="203">
      <c r="A203" s="20"/>
      <c r="E203" s="21"/>
      <c r="F203" s="21"/>
      <c r="G203" s="21"/>
    </row>
    <row r="204">
      <c r="A204" s="20"/>
      <c r="E204" s="21"/>
      <c r="F204" s="21"/>
      <c r="G204" s="21"/>
    </row>
    <row r="205">
      <c r="A205" s="20"/>
      <c r="E205" s="21"/>
      <c r="F205" s="21"/>
      <c r="G205" s="21"/>
    </row>
    <row r="206">
      <c r="A206" s="20"/>
      <c r="E206" s="21"/>
      <c r="F206" s="21"/>
      <c r="G206" s="21"/>
    </row>
    <row r="207">
      <c r="A207" s="20"/>
      <c r="E207" s="21"/>
      <c r="F207" s="21"/>
      <c r="G207" s="21"/>
    </row>
    <row r="208">
      <c r="A208" s="20"/>
      <c r="E208" s="21"/>
      <c r="F208" s="21"/>
      <c r="G208" s="21"/>
    </row>
    <row r="209">
      <c r="A209" s="20"/>
      <c r="E209" s="21"/>
      <c r="F209" s="21"/>
      <c r="G209" s="21"/>
    </row>
    <row r="210">
      <c r="A210" s="20"/>
      <c r="E210" s="21"/>
      <c r="F210" s="21"/>
      <c r="G210" s="21"/>
    </row>
    <row r="211">
      <c r="A211" s="20"/>
      <c r="E211" s="21"/>
      <c r="F211" s="21"/>
      <c r="G211" s="21"/>
    </row>
    <row r="212">
      <c r="A212" s="20"/>
      <c r="E212" s="21"/>
      <c r="F212" s="21"/>
      <c r="G212" s="21"/>
    </row>
    <row r="213">
      <c r="A213" s="20"/>
      <c r="E213" s="21"/>
      <c r="F213" s="21"/>
      <c r="G213" s="21"/>
    </row>
    <row r="214">
      <c r="A214" s="20"/>
      <c r="E214" s="21"/>
      <c r="F214" s="21"/>
      <c r="G214" s="21"/>
    </row>
    <row r="215">
      <c r="A215" s="20"/>
      <c r="E215" s="21"/>
      <c r="F215" s="21"/>
      <c r="G215" s="21"/>
    </row>
    <row r="216">
      <c r="A216" s="20"/>
      <c r="E216" s="21"/>
      <c r="F216" s="21"/>
      <c r="G216" s="21"/>
    </row>
    <row r="217">
      <c r="A217" s="20"/>
      <c r="E217" s="21"/>
      <c r="F217" s="21"/>
      <c r="G217" s="21"/>
    </row>
    <row r="218">
      <c r="A218" s="20"/>
      <c r="E218" s="21"/>
      <c r="F218" s="21"/>
      <c r="G218" s="21"/>
    </row>
    <row r="219">
      <c r="A219" s="20"/>
      <c r="E219" s="21"/>
      <c r="F219" s="21"/>
      <c r="G219" s="21"/>
    </row>
    <row r="220">
      <c r="A220" s="20"/>
      <c r="E220" s="21"/>
      <c r="F220" s="21"/>
      <c r="G220" s="21"/>
    </row>
    <row r="221">
      <c r="A221" s="20"/>
      <c r="E221" s="21"/>
      <c r="F221" s="21"/>
      <c r="G221" s="21"/>
    </row>
    <row r="222">
      <c r="A222" s="20"/>
      <c r="E222" s="21"/>
      <c r="F222" s="21"/>
      <c r="G222" s="21"/>
    </row>
    <row r="223">
      <c r="A223" s="20"/>
      <c r="E223" s="21"/>
      <c r="F223" s="21"/>
      <c r="G223" s="21"/>
    </row>
    <row r="224">
      <c r="A224" s="20"/>
      <c r="E224" s="21"/>
      <c r="F224" s="21"/>
      <c r="G224" s="21"/>
    </row>
    <row r="225">
      <c r="A225" s="20"/>
      <c r="E225" s="21"/>
      <c r="F225" s="21"/>
      <c r="G225" s="21"/>
    </row>
    <row r="226">
      <c r="A226" s="20"/>
      <c r="E226" s="21"/>
      <c r="F226" s="21"/>
      <c r="G226" s="21"/>
    </row>
    <row r="227">
      <c r="A227" s="20"/>
      <c r="E227" s="21"/>
      <c r="F227" s="21"/>
      <c r="G227" s="21"/>
    </row>
    <row r="228">
      <c r="A228" s="20"/>
      <c r="E228" s="21"/>
      <c r="F228" s="21"/>
      <c r="G228" s="21"/>
    </row>
    <row r="229">
      <c r="A229" s="20"/>
      <c r="E229" s="21"/>
      <c r="F229" s="21"/>
      <c r="G229" s="21"/>
    </row>
    <row r="230">
      <c r="A230" s="20"/>
      <c r="E230" s="21"/>
      <c r="F230" s="21"/>
      <c r="G230" s="21"/>
    </row>
    <row r="231">
      <c r="A231" s="20"/>
      <c r="E231" s="21"/>
      <c r="F231" s="21"/>
      <c r="G231" s="21"/>
    </row>
    <row r="232">
      <c r="A232" s="20"/>
      <c r="E232" s="21"/>
      <c r="F232" s="21"/>
      <c r="G232" s="21"/>
    </row>
    <row r="233">
      <c r="A233" s="20"/>
      <c r="E233" s="21"/>
      <c r="F233" s="21"/>
      <c r="G233" s="21"/>
    </row>
    <row r="234">
      <c r="A234" s="20"/>
      <c r="E234" s="21"/>
      <c r="F234" s="21"/>
      <c r="G234" s="21"/>
    </row>
    <row r="235">
      <c r="A235" s="20"/>
      <c r="E235" s="21"/>
      <c r="F235" s="21"/>
      <c r="G235" s="21"/>
    </row>
    <row r="236">
      <c r="A236" s="20"/>
      <c r="E236" s="21"/>
      <c r="F236" s="21"/>
      <c r="G236" s="21"/>
    </row>
    <row r="237">
      <c r="A237" s="20"/>
      <c r="E237" s="21"/>
      <c r="F237" s="21"/>
      <c r="G237" s="21"/>
    </row>
    <row r="238">
      <c r="A238" s="20"/>
      <c r="E238" s="21"/>
      <c r="F238" s="21"/>
      <c r="G238" s="21"/>
    </row>
    <row r="239">
      <c r="A239" s="20"/>
      <c r="E239" s="21"/>
      <c r="F239" s="21"/>
      <c r="G239" s="21"/>
    </row>
    <row r="240">
      <c r="A240" s="20"/>
      <c r="E240" s="21"/>
      <c r="F240" s="21"/>
      <c r="G240" s="21"/>
    </row>
    <row r="241">
      <c r="A241" s="20"/>
      <c r="E241" s="21"/>
      <c r="F241" s="21"/>
      <c r="G241" s="21"/>
    </row>
    <row r="242">
      <c r="A242" s="20"/>
      <c r="E242" s="21"/>
      <c r="F242" s="21"/>
      <c r="G242" s="21"/>
    </row>
    <row r="243">
      <c r="A243" s="20"/>
      <c r="E243" s="21"/>
      <c r="F243" s="21"/>
      <c r="G243" s="21"/>
    </row>
    <row r="244">
      <c r="A244" s="20"/>
      <c r="E244" s="21"/>
      <c r="F244" s="21"/>
      <c r="G244" s="21"/>
    </row>
    <row r="245">
      <c r="A245" s="20"/>
      <c r="E245" s="21"/>
      <c r="F245" s="21"/>
      <c r="G245" s="21"/>
    </row>
    <row r="246">
      <c r="A246" s="20"/>
      <c r="E246" s="21"/>
      <c r="F246" s="21"/>
      <c r="G246" s="21"/>
    </row>
    <row r="247">
      <c r="A247" s="20"/>
      <c r="E247" s="21"/>
      <c r="F247" s="21"/>
      <c r="G247" s="21"/>
    </row>
    <row r="248">
      <c r="A248" s="20"/>
      <c r="E248" s="21"/>
      <c r="F248" s="21"/>
      <c r="G248" s="21"/>
    </row>
    <row r="249">
      <c r="A249" s="20"/>
      <c r="E249" s="21"/>
      <c r="F249" s="21"/>
      <c r="G249" s="21"/>
    </row>
    <row r="250">
      <c r="A250" s="20"/>
      <c r="E250" s="21"/>
      <c r="F250" s="21"/>
      <c r="G250" s="21"/>
    </row>
    <row r="251">
      <c r="A251" s="20"/>
      <c r="E251" s="21"/>
      <c r="F251" s="21"/>
      <c r="G251" s="21"/>
    </row>
    <row r="252">
      <c r="A252" s="20"/>
      <c r="E252" s="21"/>
      <c r="F252" s="21"/>
      <c r="G252" s="21"/>
    </row>
    <row r="253">
      <c r="A253" s="20"/>
      <c r="E253" s="21"/>
      <c r="F253" s="21"/>
      <c r="G253" s="21"/>
    </row>
    <row r="254">
      <c r="A254" s="20"/>
      <c r="E254" s="21"/>
      <c r="F254" s="21"/>
      <c r="G254" s="21"/>
    </row>
    <row r="255">
      <c r="A255" s="20"/>
      <c r="E255" s="21"/>
      <c r="F255" s="21"/>
      <c r="G255" s="21"/>
    </row>
    <row r="256">
      <c r="A256" s="20"/>
      <c r="E256" s="21"/>
      <c r="F256" s="21"/>
      <c r="G256" s="21"/>
    </row>
    <row r="257">
      <c r="A257" s="20"/>
      <c r="E257" s="21"/>
      <c r="F257" s="21"/>
      <c r="G257" s="21"/>
    </row>
    <row r="258">
      <c r="A258" s="20"/>
      <c r="E258" s="21"/>
      <c r="F258" s="21"/>
      <c r="G258" s="21"/>
    </row>
    <row r="259">
      <c r="A259" s="20"/>
      <c r="E259" s="21"/>
      <c r="F259" s="21"/>
      <c r="G259" s="21"/>
    </row>
    <row r="260">
      <c r="A260" s="20"/>
      <c r="E260" s="21"/>
      <c r="F260" s="21"/>
      <c r="G260" s="21"/>
    </row>
    <row r="261">
      <c r="A261" s="20"/>
      <c r="E261" s="21"/>
      <c r="F261" s="21"/>
      <c r="G261" s="21"/>
    </row>
    <row r="262">
      <c r="A262" s="20"/>
      <c r="E262" s="21"/>
      <c r="F262" s="21"/>
      <c r="G262" s="21"/>
    </row>
    <row r="263">
      <c r="A263" s="20"/>
      <c r="E263" s="21"/>
      <c r="F263" s="21"/>
      <c r="G263" s="21"/>
    </row>
    <row r="264">
      <c r="A264" s="20"/>
      <c r="E264" s="21"/>
      <c r="F264" s="21"/>
      <c r="G264" s="21"/>
    </row>
    <row r="265">
      <c r="A265" s="20"/>
      <c r="E265" s="21"/>
      <c r="F265" s="21"/>
      <c r="G265" s="21"/>
    </row>
    <row r="266">
      <c r="A266" s="20"/>
      <c r="E266" s="21"/>
      <c r="F266" s="21"/>
      <c r="G266" s="21"/>
    </row>
    <row r="267">
      <c r="A267" s="20"/>
      <c r="E267" s="21"/>
      <c r="F267" s="21"/>
      <c r="G267" s="21"/>
    </row>
    <row r="268">
      <c r="A268" s="20"/>
      <c r="E268" s="21"/>
      <c r="F268" s="21"/>
      <c r="G268" s="21"/>
    </row>
    <row r="269">
      <c r="A269" s="20"/>
      <c r="E269" s="21"/>
      <c r="F269" s="21"/>
      <c r="G269" s="21"/>
    </row>
    <row r="270">
      <c r="A270" s="20"/>
      <c r="E270" s="21"/>
      <c r="F270" s="21"/>
      <c r="G270" s="21"/>
    </row>
    <row r="271">
      <c r="A271" s="20"/>
      <c r="E271" s="21"/>
      <c r="F271" s="21"/>
      <c r="G271" s="21"/>
    </row>
    <row r="272">
      <c r="A272" s="20"/>
      <c r="E272" s="21"/>
      <c r="F272" s="21"/>
      <c r="G272" s="21"/>
    </row>
    <row r="273">
      <c r="A273" s="20"/>
      <c r="E273" s="21"/>
      <c r="F273" s="21"/>
      <c r="G273" s="21"/>
    </row>
    <row r="274">
      <c r="A274" s="20"/>
      <c r="E274" s="21"/>
      <c r="F274" s="21"/>
      <c r="G274" s="21"/>
    </row>
    <row r="275">
      <c r="A275" s="20"/>
      <c r="E275" s="21"/>
      <c r="F275" s="21"/>
      <c r="G275" s="21"/>
    </row>
    <row r="276">
      <c r="A276" s="20"/>
      <c r="E276" s="21"/>
      <c r="F276" s="21"/>
      <c r="G276" s="21"/>
    </row>
    <row r="277">
      <c r="A277" s="20"/>
      <c r="E277" s="21"/>
      <c r="F277" s="21"/>
      <c r="G277" s="21"/>
    </row>
    <row r="278">
      <c r="A278" s="20"/>
      <c r="E278" s="21"/>
      <c r="F278" s="21"/>
      <c r="G278" s="21"/>
    </row>
    <row r="279">
      <c r="A279" s="20"/>
      <c r="E279" s="21"/>
      <c r="F279" s="21"/>
      <c r="G279" s="21"/>
    </row>
    <row r="280">
      <c r="A280" s="20"/>
      <c r="E280" s="21"/>
      <c r="F280" s="21"/>
      <c r="G280" s="21"/>
    </row>
    <row r="281">
      <c r="A281" s="20"/>
      <c r="E281" s="21"/>
      <c r="F281" s="21"/>
      <c r="G281" s="21"/>
    </row>
    <row r="282">
      <c r="A282" s="20"/>
      <c r="E282" s="21"/>
      <c r="F282" s="21"/>
      <c r="G282" s="21"/>
    </row>
    <row r="283">
      <c r="A283" s="20"/>
      <c r="E283" s="21"/>
      <c r="F283" s="21"/>
      <c r="G283" s="21"/>
    </row>
    <row r="284">
      <c r="A284" s="20"/>
      <c r="E284" s="21"/>
      <c r="F284" s="21"/>
      <c r="G284" s="21"/>
    </row>
    <row r="285">
      <c r="A285" s="20"/>
      <c r="E285" s="21"/>
      <c r="F285" s="21"/>
      <c r="G285" s="21"/>
    </row>
    <row r="286">
      <c r="A286" s="20"/>
      <c r="E286" s="21"/>
      <c r="F286" s="21"/>
      <c r="G286" s="21"/>
    </row>
    <row r="287">
      <c r="A287" s="20"/>
      <c r="E287" s="21"/>
      <c r="F287" s="21"/>
      <c r="G287" s="21"/>
    </row>
    <row r="288">
      <c r="A288" s="20"/>
      <c r="E288" s="21"/>
      <c r="F288" s="21"/>
      <c r="G288" s="21"/>
    </row>
    <row r="289">
      <c r="A289" s="20"/>
      <c r="E289" s="21"/>
      <c r="F289" s="21"/>
      <c r="G289" s="21"/>
    </row>
    <row r="290">
      <c r="A290" s="20"/>
      <c r="E290" s="21"/>
      <c r="F290" s="21"/>
      <c r="G290" s="21"/>
    </row>
    <row r="291">
      <c r="A291" s="20"/>
      <c r="E291" s="21"/>
      <c r="F291" s="21"/>
      <c r="G291" s="21"/>
    </row>
    <row r="292">
      <c r="A292" s="20"/>
      <c r="E292" s="21"/>
      <c r="F292" s="21"/>
      <c r="G292" s="21"/>
    </row>
    <row r="293">
      <c r="A293" s="20"/>
      <c r="E293" s="21"/>
      <c r="F293" s="21"/>
      <c r="G293" s="21"/>
    </row>
    <row r="294">
      <c r="A294" s="20"/>
      <c r="E294" s="21"/>
      <c r="F294" s="21"/>
      <c r="G294" s="21"/>
    </row>
    <row r="295">
      <c r="A295" s="20"/>
      <c r="E295" s="21"/>
      <c r="F295" s="21"/>
      <c r="G295" s="21"/>
    </row>
    <row r="296">
      <c r="A296" s="20"/>
      <c r="E296" s="21"/>
      <c r="F296" s="21"/>
      <c r="G296" s="21"/>
    </row>
    <row r="297">
      <c r="A297" s="20"/>
      <c r="E297" s="21"/>
      <c r="F297" s="21"/>
      <c r="G297" s="21"/>
    </row>
    <row r="298">
      <c r="A298" s="20"/>
      <c r="E298" s="21"/>
      <c r="F298" s="21"/>
      <c r="G298" s="21"/>
    </row>
    <row r="299">
      <c r="A299" s="20"/>
      <c r="E299" s="21"/>
      <c r="F299" s="21"/>
      <c r="G299" s="21"/>
    </row>
    <row r="300">
      <c r="A300" s="20"/>
      <c r="E300" s="21"/>
      <c r="F300" s="21"/>
      <c r="G300" s="21"/>
    </row>
    <row r="301">
      <c r="A301" s="20"/>
      <c r="E301" s="21"/>
      <c r="F301" s="21"/>
      <c r="G301" s="21"/>
    </row>
    <row r="302">
      <c r="A302" s="20"/>
      <c r="E302" s="21"/>
      <c r="F302" s="21"/>
      <c r="G302" s="21"/>
    </row>
    <row r="303">
      <c r="A303" s="20"/>
      <c r="E303" s="21"/>
      <c r="F303" s="21"/>
      <c r="G303" s="21"/>
    </row>
    <row r="304">
      <c r="A304" s="20"/>
      <c r="E304" s="21"/>
      <c r="F304" s="21"/>
      <c r="G304" s="21"/>
    </row>
    <row r="305">
      <c r="A305" s="20"/>
      <c r="E305" s="21"/>
      <c r="F305" s="21"/>
      <c r="G305" s="21"/>
    </row>
    <row r="306">
      <c r="A306" s="20"/>
      <c r="E306" s="21"/>
      <c r="F306" s="21"/>
      <c r="G306" s="21"/>
    </row>
    <row r="307">
      <c r="A307" s="20"/>
      <c r="E307" s="21"/>
      <c r="F307" s="21"/>
      <c r="G307" s="21"/>
    </row>
    <row r="308">
      <c r="A308" s="20"/>
      <c r="E308" s="21"/>
      <c r="F308" s="21"/>
      <c r="G308" s="21"/>
    </row>
    <row r="309">
      <c r="A309" s="20"/>
      <c r="E309" s="21"/>
      <c r="F309" s="21"/>
      <c r="G309" s="21"/>
    </row>
    <row r="310">
      <c r="A310" s="20"/>
      <c r="E310" s="21"/>
      <c r="F310" s="21"/>
      <c r="G310" s="21"/>
    </row>
    <row r="311">
      <c r="A311" s="20"/>
      <c r="E311" s="21"/>
      <c r="F311" s="21"/>
      <c r="G311" s="21"/>
    </row>
    <row r="312">
      <c r="A312" s="20"/>
      <c r="E312" s="21"/>
      <c r="F312" s="21"/>
      <c r="G312" s="21"/>
    </row>
    <row r="313">
      <c r="A313" s="20"/>
      <c r="E313" s="21"/>
      <c r="F313" s="21"/>
      <c r="G313" s="21"/>
    </row>
    <row r="314">
      <c r="A314" s="20"/>
      <c r="E314" s="21"/>
      <c r="F314" s="21"/>
      <c r="G314" s="21"/>
    </row>
    <row r="315">
      <c r="A315" s="20"/>
      <c r="E315" s="21"/>
      <c r="F315" s="21"/>
      <c r="G315" s="21"/>
    </row>
    <row r="316">
      <c r="A316" s="20"/>
      <c r="E316" s="21"/>
      <c r="F316" s="21"/>
      <c r="G316" s="21"/>
    </row>
    <row r="317">
      <c r="A317" s="20"/>
      <c r="E317" s="21"/>
      <c r="F317" s="21"/>
      <c r="G317" s="21"/>
    </row>
    <row r="318">
      <c r="A318" s="20"/>
      <c r="E318" s="21"/>
      <c r="F318" s="21"/>
      <c r="G318" s="21"/>
    </row>
    <row r="319">
      <c r="A319" s="20"/>
      <c r="E319" s="21"/>
      <c r="F319" s="21"/>
      <c r="G319" s="21"/>
    </row>
    <row r="320">
      <c r="A320" s="20"/>
      <c r="E320" s="21"/>
      <c r="F320" s="21"/>
      <c r="G320" s="21"/>
    </row>
    <row r="321">
      <c r="A321" s="20"/>
      <c r="E321" s="21"/>
      <c r="F321" s="21"/>
      <c r="G321" s="21"/>
    </row>
    <row r="322">
      <c r="A322" s="20"/>
      <c r="E322" s="21"/>
      <c r="F322" s="21"/>
      <c r="G322" s="21"/>
    </row>
    <row r="323">
      <c r="A323" s="20"/>
      <c r="E323" s="21"/>
      <c r="F323" s="21"/>
      <c r="G323" s="21"/>
    </row>
    <row r="324">
      <c r="A324" s="20"/>
      <c r="E324" s="21"/>
      <c r="F324" s="21"/>
      <c r="G324" s="21"/>
    </row>
    <row r="325">
      <c r="A325" s="20"/>
      <c r="E325" s="21"/>
      <c r="F325" s="21"/>
      <c r="G325" s="21"/>
    </row>
    <row r="326">
      <c r="A326" s="20"/>
      <c r="E326" s="21"/>
      <c r="F326" s="21"/>
      <c r="G326" s="21"/>
    </row>
    <row r="327">
      <c r="A327" s="20"/>
      <c r="E327" s="21"/>
      <c r="F327" s="21"/>
      <c r="G327" s="21"/>
    </row>
    <row r="328">
      <c r="A328" s="20"/>
      <c r="E328" s="21"/>
      <c r="F328" s="21"/>
      <c r="G328" s="21"/>
    </row>
    <row r="329">
      <c r="A329" s="20"/>
      <c r="E329" s="21"/>
      <c r="F329" s="21"/>
      <c r="G329" s="21"/>
    </row>
    <row r="330">
      <c r="A330" s="20"/>
      <c r="E330" s="21"/>
      <c r="F330" s="21"/>
      <c r="G330" s="21"/>
    </row>
    <row r="331">
      <c r="A331" s="20"/>
      <c r="E331" s="21"/>
      <c r="F331" s="21"/>
      <c r="G331" s="21"/>
    </row>
    <row r="332">
      <c r="A332" s="20"/>
      <c r="E332" s="21"/>
      <c r="F332" s="21"/>
      <c r="G332" s="21"/>
    </row>
    <row r="333">
      <c r="A333" s="20"/>
      <c r="E333" s="21"/>
      <c r="F333" s="21"/>
      <c r="G333" s="21"/>
    </row>
    <row r="334">
      <c r="A334" s="20"/>
      <c r="E334" s="21"/>
      <c r="F334" s="21"/>
      <c r="G334" s="21"/>
    </row>
    <row r="335">
      <c r="A335" s="20"/>
      <c r="E335" s="21"/>
      <c r="F335" s="21"/>
      <c r="G335" s="21"/>
    </row>
    <row r="336">
      <c r="A336" s="20"/>
      <c r="E336" s="21"/>
      <c r="F336" s="21"/>
      <c r="G336" s="21"/>
    </row>
    <row r="337">
      <c r="A337" s="20"/>
      <c r="E337" s="21"/>
      <c r="F337" s="21"/>
      <c r="G337" s="21"/>
    </row>
    <row r="338">
      <c r="A338" s="20"/>
      <c r="E338" s="21"/>
      <c r="F338" s="21"/>
      <c r="G338" s="21"/>
    </row>
    <row r="339">
      <c r="A339" s="20"/>
      <c r="E339" s="21"/>
      <c r="F339" s="21"/>
      <c r="G339" s="21"/>
    </row>
    <row r="340">
      <c r="A340" s="20"/>
      <c r="E340" s="21"/>
      <c r="F340" s="21"/>
      <c r="G340" s="21"/>
    </row>
    <row r="341">
      <c r="A341" s="20"/>
      <c r="E341" s="21"/>
      <c r="F341" s="21"/>
      <c r="G341" s="21"/>
    </row>
    <row r="342">
      <c r="A342" s="20"/>
      <c r="E342" s="21"/>
      <c r="F342" s="21"/>
      <c r="G342" s="21"/>
    </row>
    <row r="343">
      <c r="A343" s="20"/>
      <c r="E343" s="21"/>
      <c r="F343" s="21"/>
      <c r="G343" s="21"/>
    </row>
    <row r="344">
      <c r="A344" s="20"/>
      <c r="E344" s="21"/>
      <c r="F344" s="21"/>
      <c r="G344" s="21"/>
    </row>
    <row r="345">
      <c r="A345" s="20"/>
      <c r="E345" s="21"/>
      <c r="F345" s="21"/>
      <c r="G345" s="21"/>
    </row>
    <row r="346">
      <c r="A346" s="20"/>
      <c r="E346" s="21"/>
      <c r="F346" s="21"/>
      <c r="G346" s="21"/>
    </row>
    <row r="347">
      <c r="A347" s="20"/>
      <c r="E347" s="21"/>
      <c r="F347" s="21"/>
      <c r="G347" s="21"/>
    </row>
    <row r="348">
      <c r="A348" s="20"/>
      <c r="E348" s="21"/>
      <c r="F348" s="21"/>
      <c r="G348" s="21"/>
    </row>
    <row r="349">
      <c r="A349" s="20"/>
      <c r="E349" s="21"/>
      <c r="F349" s="21"/>
      <c r="G349" s="21"/>
    </row>
    <row r="350">
      <c r="A350" s="20"/>
      <c r="E350" s="21"/>
      <c r="F350" s="21"/>
      <c r="G350" s="21"/>
    </row>
    <row r="351">
      <c r="A351" s="20"/>
      <c r="E351" s="21"/>
      <c r="F351" s="21"/>
      <c r="G351" s="21"/>
    </row>
    <row r="352">
      <c r="A352" s="20"/>
      <c r="E352" s="21"/>
      <c r="F352" s="21"/>
      <c r="G352" s="21"/>
    </row>
    <row r="353">
      <c r="A353" s="20"/>
      <c r="E353" s="21"/>
      <c r="F353" s="21"/>
      <c r="G353" s="21"/>
    </row>
    <row r="354">
      <c r="A354" s="20"/>
      <c r="E354" s="21"/>
      <c r="F354" s="21"/>
      <c r="G354" s="21"/>
    </row>
    <row r="355">
      <c r="A355" s="20"/>
      <c r="E355" s="21"/>
      <c r="F355" s="21"/>
      <c r="G355" s="21"/>
    </row>
    <row r="356">
      <c r="A356" s="20"/>
      <c r="E356" s="21"/>
      <c r="F356" s="21"/>
      <c r="G356" s="21"/>
    </row>
    <row r="357">
      <c r="A357" s="20"/>
      <c r="E357" s="21"/>
      <c r="F357" s="21"/>
      <c r="G357" s="21"/>
    </row>
    <row r="358">
      <c r="A358" s="20"/>
      <c r="E358" s="21"/>
      <c r="F358" s="21"/>
      <c r="G358" s="21"/>
    </row>
    <row r="359">
      <c r="A359" s="20"/>
      <c r="E359" s="21"/>
      <c r="F359" s="21"/>
      <c r="G359" s="21"/>
    </row>
    <row r="360">
      <c r="A360" s="20"/>
      <c r="E360" s="21"/>
      <c r="F360" s="21"/>
      <c r="G360" s="21"/>
    </row>
    <row r="361">
      <c r="A361" s="20"/>
      <c r="E361" s="21"/>
      <c r="F361" s="21"/>
      <c r="G361" s="21"/>
    </row>
    <row r="362">
      <c r="A362" s="20"/>
      <c r="E362" s="21"/>
      <c r="F362" s="21"/>
      <c r="G362" s="21"/>
    </row>
    <row r="363">
      <c r="A363" s="20"/>
      <c r="E363" s="21"/>
      <c r="F363" s="21"/>
      <c r="G363" s="21"/>
    </row>
    <row r="364">
      <c r="A364" s="20"/>
      <c r="E364" s="21"/>
      <c r="F364" s="21"/>
      <c r="G364" s="21"/>
    </row>
    <row r="365">
      <c r="A365" s="20"/>
      <c r="E365" s="21"/>
      <c r="F365" s="21"/>
      <c r="G365" s="21"/>
    </row>
    <row r="366">
      <c r="A366" s="20"/>
      <c r="E366" s="21"/>
      <c r="F366" s="21"/>
      <c r="G366" s="21"/>
    </row>
    <row r="367">
      <c r="A367" s="20"/>
      <c r="E367" s="21"/>
      <c r="F367" s="21"/>
      <c r="G367" s="21"/>
    </row>
    <row r="368">
      <c r="A368" s="20"/>
      <c r="E368" s="21"/>
      <c r="F368" s="21"/>
      <c r="G368" s="21"/>
    </row>
    <row r="369">
      <c r="A369" s="20"/>
      <c r="E369" s="21"/>
      <c r="F369" s="21"/>
      <c r="G369" s="21"/>
    </row>
    <row r="370">
      <c r="A370" s="20"/>
      <c r="E370" s="21"/>
      <c r="F370" s="21"/>
      <c r="G370" s="21"/>
    </row>
    <row r="371">
      <c r="A371" s="20"/>
      <c r="E371" s="21"/>
      <c r="F371" s="21"/>
      <c r="G371" s="21"/>
    </row>
    <row r="372">
      <c r="A372" s="20"/>
      <c r="E372" s="21"/>
      <c r="F372" s="21"/>
      <c r="G372" s="21"/>
    </row>
    <row r="373">
      <c r="A373" s="20"/>
      <c r="E373" s="21"/>
      <c r="F373" s="21"/>
      <c r="G373" s="21"/>
    </row>
    <row r="374">
      <c r="A374" s="20"/>
      <c r="E374" s="21"/>
      <c r="F374" s="21"/>
      <c r="G374" s="21"/>
    </row>
    <row r="375">
      <c r="A375" s="20"/>
      <c r="E375" s="21"/>
      <c r="F375" s="21"/>
      <c r="G375" s="21"/>
    </row>
    <row r="376">
      <c r="A376" s="20"/>
      <c r="E376" s="21"/>
      <c r="F376" s="21"/>
      <c r="G376" s="21"/>
    </row>
    <row r="377">
      <c r="A377" s="20"/>
      <c r="E377" s="21"/>
      <c r="F377" s="21"/>
      <c r="G377" s="21"/>
    </row>
    <row r="378">
      <c r="A378" s="20"/>
      <c r="E378" s="21"/>
      <c r="F378" s="21"/>
      <c r="G378" s="21"/>
    </row>
    <row r="379">
      <c r="A379" s="20"/>
      <c r="E379" s="21"/>
      <c r="F379" s="21"/>
      <c r="G379" s="21"/>
    </row>
    <row r="380">
      <c r="A380" s="20"/>
      <c r="E380" s="21"/>
      <c r="F380" s="21"/>
      <c r="G380" s="21"/>
    </row>
    <row r="381">
      <c r="A381" s="20"/>
      <c r="E381" s="21"/>
      <c r="F381" s="21"/>
      <c r="G381" s="21"/>
    </row>
    <row r="382">
      <c r="A382" s="20"/>
      <c r="E382" s="21"/>
      <c r="F382" s="21"/>
      <c r="G382" s="21"/>
    </row>
    <row r="383">
      <c r="A383" s="20"/>
      <c r="E383" s="21"/>
      <c r="F383" s="21"/>
      <c r="G383" s="21"/>
    </row>
    <row r="384">
      <c r="A384" s="20"/>
      <c r="E384" s="21"/>
      <c r="F384" s="21"/>
      <c r="G384" s="21"/>
    </row>
    <row r="385">
      <c r="A385" s="20"/>
      <c r="E385" s="21"/>
      <c r="F385" s="21"/>
      <c r="G385" s="21"/>
    </row>
    <row r="386">
      <c r="A386" s="20"/>
      <c r="E386" s="21"/>
      <c r="F386" s="21"/>
      <c r="G386" s="21"/>
    </row>
    <row r="387">
      <c r="A387" s="20"/>
      <c r="E387" s="21"/>
      <c r="F387" s="21"/>
      <c r="G387" s="21"/>
    </row>
    <row r="388">
      <c r="A388" s="20"/>
      <c r="E388" s="21"/>
      <c r="F388" s="21"/>
      <c r="G388" s="21"/>
    </row>
    <row r="389">
      <c r="A389" s="20"/>
      <c r="E389" s="21"/>
      <c r="F389" s="21"/>
      <c r="G389" s="21"/>
    </row>
    <row r="390">
      <c r="A390" s="20"/>
      <c r="E390" s="21"/>
      <c r="F390" s="21"/>
      <c r="G390" s="21"/>
    </row>
    <row r="391">
      <c r="A391" s="20"/>
      <c r="E391" s="21"/>
      <c r="F391" s="21"/>
      <c r="G391" s="21"/>
    </row>
    <row r="392">
      <c r="A392" s="20"/>
      <c r="E392" s="21"/>
      <c r="F392" s="21"/>
      <c r="G392" s="21"/>
    </row>
    <row r="393">
      <c r="A393" s="20"/>
      <c r="E393" s="21"/>
      <c r="F393" s="21"/>
      <c r="G393" s="21"/>
    </row>
    <row r="394">
      <c r="A394" s="20"/>
      <c r="E394" s="21"/>
      <c r="F394" s="21"/>
      <c r="G394" s="21"/>
    </row>
    <row r="395">
      <c r="A395" s="20"/>
      <c r="E395" s="21"/>
      <c r="F395" s="21"/>
      <c r="G395" s="21"/>
    </row>
    <row r="396">
      <c r="A396" s="20"/>
      <c r="E396" s="21"/>
      <c r="F396" s="21"/>
      <c r="G396" s="21"/>
    </row>
    <row r="397">
      <c r="A397" s="20"/>
      <c r="E397" s="21"/>
      <c r="F397" s="21"/>
      <c r="G397" s="21"/>
    </row>
    <row r="398">
      <c r="A398" s="20"/>
      <c r="E398" s="21"/>
      <c r="F398" s="21"/>
      <c r="G398" s="21"/>
    </row>
    <row r="399">
      <c r="A399" s="20"/>
      <c r="E399" s="21"/>
      <c r="F399" s="21"/>
      <c r="G399" s="21"/>
    </row>
    <row r="400">
      <c r="A400" s="20"/>
      <c r="E400" s="21"/>
      <c r="F400" s="21"/>
      <c r="G400" s="21"/>
    </row>
    <row r="401">
      <c r="A401" s="20"/>
      <c r="E401" s="21"/>
      <c r="F401" s="21"/>
      <c r="G401" s="21"/>
    </row>
    <row r="402">
      <c r="A402" s="20"/>
      <c r="E402" s="21"/>
      <c r="F402" s="21"/>
      <c r="G402" s="21"/>
    </row>
    <row r="403">
      <c r="A403" s="20"/>
      <c r="E403" s="21"/>
      <c r="F403" s="21"/>
      <c r="G403" s="21"/>
    </row>
    <row r="404">
      <c r="A404" s="20"/>
      <c r="E404" s="21"/>
      <c r="F404" s="21"/>
      <c r="G404" s="21"/>
    </row>
    <row r="405">
      <c r="A405" s="20"/>
      <c r="E405" s="21"/>
      <c r="F405" s="21"/>
      <c r="G405" s="21"/>
    </row>
    <row r="406">
      <c r="A406" s="20"/>
      <c r="E406" s="21"/>
      <c r="F406" s="21"/>
      <c r="G406" s="21"/>
    </row>
    <row r="407">
      <c r="A407" s="20"/>
      <c r="E407" s="21"/>
      <c r="F407" s="21"/>
      <c r="G407" s="21"/>
    </row>
    <row r="408">
      <c r="A408" s="20"/>
      <c r="E408" s="21"/>
      <c r="F408" s="21"/>
      <c r="G408" s="21"/>
    </row>
    <row r="409">
      <c r="A409" s="20"/>
      <c r="E409" s="21"/>
      <c r="F409" s="21"/>
      <c r="G409" s="21"/>
    </row>
    <row r="410">
      <c r="A410" s="20"/>
      <c r="E410" s="21"/>
      <c r="F410" s="21"/>
      <c r="G410" s="21"/>
    </row>
    <row r="411">
      <c r="A411" s="20"/>
      <c r="E411" s="21"/>
      <c r="F411" s="21"/>
      <c r="G411" s="21"/>
    </row>
    <row r="412">
      <c r="A412" s="20"/>
      <c r="E412" s="21"/>
      <c r="F412" s="21"/>
      <c r="G412" s="21"/>
    </row>
    <row r="413">
      <c r="A413" s="20"/>
      <c r="E413" s="21"/>
      <c r="F413" s="21"/>
      <c r="G413" s="21"/>
    </row>
    <row r="414">
      <c r="A414" s="20"/>
      <c r="E414" s="21"/>
      <c r="F414" s="21"/>
      <c r="G414" s="21"/>
    </row>
    <row r="415">
      <c r="A415" s="20"/>
      <c r="E415" s="21"/>
      <c r="F415" s="21"/>
      <c r="G415" s="21"/>
    </row>
    <row r="416">
      <c r="A416" s="20"/>
      <c r="E416" s="21"/>
      <c r="F416" s="21"/>
      <c r="G416" s="21"/>
    </row>
    <row r="417">
      <c r="A417" s="20"/>
      <c r="E417" s="21"/>
      <c r="F417" s="21"/>
      <c r="G417" s="21"/>
    </row>
    <row r="418">
      <c r="A418" s="20"/>
      <c r="E418" s="21"/>
      <c r="F418" s="21"/>
      <c r="G418" s="21"/>
    </row>
    <row r="419">
      <c r="A419" s="20"/>
      <c r="E419" s="21"/>
      <c r="F419" s="21"/>
      <c r="G419" s="21"/>
    </row>
    <row r="420">
      <c r="A420" s="20"/>
      <c r="E420" s="21"/>
      <c r="F420" s="21"/>
      <c r="G420" s="21"/>
    </row>
    <row r="421">
      <c r="A421" s="20"/>
      <c r="E421" s="21"/>
      <c r="F421" s="21"/>
      <c r="G421" s="21"/>
    </row>
    <row r="422">
      <c r="A422" s="20"/>
      <c r="E422" s="21"/>
      <c r="F422" s="21"/>
      <c r="G422" s="21"/>
    </row>
    <row r="423">
      <c r="A423" s="20"/>
      <c r="E423" s="21"/>
      <c r="F423" s="21"/>
      <c r="G423" s="21"/>
    </row>
    <row r="424">
      <c r="A424" s="20"/>
      <c r="E424" s="21"/>
      <c r="F424" s="21"/>
      <c r="G424" s="21"/>
    </row>
    <row r="425">
      <c r="A425" s="20"/>
      <c r="E425" s="21"/>
      <c r="F425" s="21"/>
      <c r="G425" s="21"/>
    </row>
    <row r="426">
      <c r="A426" s="20"/>
      <c r="E426" s="21"/>
      <c r="F426" s="21"/>
      <c r="G426" s="21"/>
    </row>
    <row r="427">
      <c r="A427" s="20"/>
      <c r="E427" s="21"/>
      <c r="F427" s="21"/>
      <c r="G427" s="21"/>
    </row>
    <row r="428">
      <c r="A428" s="20"/>
      <c r="E428" s="21"/>
      <c r="F428" s="21"/>
      <c r="G428" s="21"/>
    </row>
    <row r="429">
      <c r="A429" s="20"/>
      <c r="E429" s="21"/>
      <c r="F429" s="21"/>
      <c r="G429" s="21"/>
    </row>
    <row r="430">
      <c r="A430" s="20"/>
      <c r="E430" s="21"/>
      <c r="F430" s="21"/>
      <c r="G430" s="21"/>
    </row>
    <row r="431">
      <c r="A431" s="20"/>
      <c r="E431" s="21"/>
      <c r="F431" s="21"/>
      <c r="G431" s="21"/>
    </row>
    <row r="432">
      <c r="A432" s="20"/>
      <c r="E432" s="21"/>
      <c r="F432" s="21"/>
      <c r="G432" s="21"/>
    </row>
    <row r="433">
      <c r="A433" s="20"/>
      <c r="E433" s="21"/>
      <c r="F433" s="21"/>
      <c r="G433" s="21"/>
    </row>
    <row r="434">
      <c r="A434" s="20"/>
      <c r="E434" s="21"/>
      <c r="F434" s="21"/>
      <c r="G434" s="21"/>
    </row>
    <row r="435">
      <c r="A435" s="20"/>
      <c r="E435" s="21"/>
      <c r="F435" s="21"/>
      <c r="G435" s="21"/>
    </row>
    <row r="436">
      <c r="A436" s="20"/>
      <c r="E436" s="21"/>
      <c r="F436" s="21"/>
      <c r="G436" s="21"/>
    </row>
    <row r="437">
      <c r="A437" s="20"/>
      <c r="E437" s="21"/>
      <c r="F437" s="21"/>
      <c r="G437" s="21"/>
    </row>
    <row r="438">
      <c r="A438" s="20"/>
      <c r="E438" s="21"/>
      <c r="F438" s="21"/>
      <c r="G438" s="21"/>
    </row>
    <row r="439">
      <c r="A439" s="20"/>
      <c r="E439" s="21"/>
      <c r="F439" s="21"/>
      <c r="G439" s="21"/>
    </row>
    <row r="440">
      <c r="A440" s="20"/>
      <c r="E440" s="21"/>
      <c r="F440" s="21"/>
      <c r="G440" s="21"/>
    </row>
    <row r="441">
      <c r="A441" s="20"/>
      <c r="E441" s="21"/>
      <c r="F441" s="21"/>
      <c r="G441" s="21"/>
    </row>
    <row r="442">
      <c r="A442" s="20"/>
      <c r="E442" s="21"/>
      <c r="F442" s="21"/>
      <c r="G442" s="21"/>
    </row>
    <row r="443">
      <c r="A443" s="20"/>
      <c r="E443" s="21"/>
      <c r="F443" s="21"/>
      <c r="G443" s="21"/>
    </row>
    <row r="444">
      <c r="A444" s="20"/>
      <c r="E444" s="21"/>
      <c r="F444" s="21"/>
      <c r="G444" s="21"/>
    </row>
    <row r="445">
      <c r="A445" s="20"/>
      <c r="E445" s="21"/>
      <c r="F445" s="21"/>
      <c r="G445" s="21"/>
    </row>
    <row r="446">
      <c r="A446" s="20"/>
      <c r="E446" s="21"/>
      <c r="F446" s="21"/>
      <c r="G446" s="21"/>
    </row>
    <row r="447">
      <c r="A447" s="20"/>
      <c r="E447" s="21"/>
      <c r="F447" s="21"/>
      <c r="G447" s="21"/>
    </row>
    <row r="448">
      <c r="A448" s="20"/>
      <c r="E448" s="21"/>
      <c r="F448" s="21"/>
      <c r="G448" s="21"/>
    </row>
    <row r="449">
      <c r="A449" s="20"/>
      <c r="E449" s="21"/>
      <c r="F449" s="21"/>
      <c r="G449" s="21"/>
    </row>
    <row r="450">
      <c r="A450" s="20"/>
      <c r="E450" s="21"/>
      <c r="F450" s="21"/>
      <c r="G450" s="21"/>
    </row>
    <row r="451">
      <c r="A451" s="20"/>
      <c r="E451" s="21"/>
      <c r="F451" s="21"/>
      <c r="G451" s="21"/>
    </row>
    <row r="452">
      <c r="A452" s="20"/>
      <c r="E452" s="21"/>
      <c r="F452" s="21"/>
      <c r="G452" s="21"/>
    </row>
    <row r="453">
      <c r="A453" s="20"/>
      <c r="E453" s="21"/>
      <c r="F453" s="21"/>
      <c r="G453" s="21"/>
    </row>
    <row r="454">
      <c r="A454" s="20"/>
      <c r="E454" s="21"/>
      <c r="F454" s="21"/>
      <c r="G454" s="21"/>
    </row>
    <row r="455">
      <c r="A455" s="20"/>
      <c r="E455" s="21"/>
      <c r="F455" s="21"/>
      <c r="G455" s="21"/>
    </row>
    <row r="456">
      <c r="A456" s="20"/>
      <c r="E456" s="21"/>
      <c r="F456" s="21"/>
      <c r="G456" s="21"/>
    </row>
    <row r="457">
      <c r="A457" s="20"/>
      <c r="E457" s="21"/>
      <c r="F457" s="21"/>
      <c r="G457" s="21"/>
    </row>
    <row r="458">
      <c r="A458" s="20"/>
      <c r="E458" s="21"/>
      <c r="F458" s="21"/>
      <c r="G458" s="21"/>
    </row>
    <row r="459">
      <c r="A459" s="20"/>
      <c r="E459" s="21"/>
      <c r="F459" s="21"/>
      <c r="G459" s="21"/>
    </row>
    <row r="460">
      <c r="A460" s="20"/>
      <c r="E460" s="21"/>
      <c r="F460" s="21"/>
      <c r="G460" s="21"/>
    </row>
    <row r="461">
      <c r="A461" s="20"/>
      <c r="E461" s="21"/>
      <c r="F461" s="21"/>
      <c r="G461" s="21"/>
    </row>
    <row r="462">
      <c r="A462" s="20"/>
      <c r="E462" s="21"/>
      <c r="F462" s="21"/>
      <c r="G462" s="21"/>
    </row>
    <row r="463">
      <c r="A463" s="20"/>
      <c r="E463" s="21"/>
      <c r="F463" s="21"/>
      <c r="G463" s="21"/>
    </row>
    <row r="464">
      <c r="A464" s="20"/>
      <c r="E464" s="21"/>
      <c r="F464" s="21"/>
      <c r="G464" s="21"/>
    </row>
    <row r="465">
      <c r="A465" s="20"/>
      <c r="E465" s="21"/>
      <c r="F465" s="21"/>
      <c r="G465" s="21"/>
    </row>
    <row r="466">
      <c r="A466" s="20"/>
      <c r="E466" s="21"/>
      <c r="F466" s="21"/>
      <c r="G466" s="21"/>
    </row>
    <row r="467">
      <c r="A467" s="20"/>
      <c r="E467" s="21"/>
      <c r="F467" s="21"/>
      <c r="G467" s="21"/>
    </row>
    <row r="468">
      <c r="A468" s="20"/>
      <c r="E468" s="21"/>
      <c r="F468" s="21"/>
      <c r="G468" s="21"/>
    </row>
    <row r="469">
      <c r="A469" s="20"/>
      <c r="E469" s="21"/>
      <c r="F469" s="21"/>
      <c r="G469" s="21"/>
    </row>
    <row r="470">
      <c r="A470" s="20"/>
      <c r="E470" s="21"/>
      <c r="F470" s="21"/>
      <c r="G470" s="21"/>
    </row>
    <row r="471">
      <c r="A471" s="20"/>
      <c r="E471" s="21"/>
      <c r="F471" s="21"/>
      <c r="G471" s="21"/>
    </row>
    <row r="472">
      <c r="A472" s="20"/>
      <c r="E472" s="21"/>
      <c r="F472" s="21"/>
      <c r="G472" s="21"/>
    </row>
    <row r="473">
      <c r="A473" s="20"/>
      <c r="E473" s="21"/>
      <c r="F473" s="21"/>
      <c r="G473" s="21"/>
    </row>
    <row r="474">
      <c r="A474" s="20"/>
      <c r="E474" s="21"/>
      <c r="F474" s="21"/>
      <c r="G474" s="21"/>
    </row>
    <row r="475">
      <c r="A475" s="20"/>
      <c r="E475" s="21"/>
      <c r="F475" s="21"/>
      <c r="G475" s="21"/>
    </row>
    <row r="476">
      <c r="A476" s="20"/>
      <c r="E476" s="21"/>
      <c r="F476" s="21"/>
      <c r="G476" s="21"/>
    </row>
    <row r="477">
      <c r="A477" s="20"/>
      <c r="E477" s="21"/>
      <c r="F477" s="21"/>
      <c r="G477" s="21"/>
    </row>
    <row r="478">
      <c r="A478" s="20"/>
      <c r="E478" s="21"/>
      <c r="F478" s="21"/>
      <c r="G478" s="21"/>
    </row>
    <row r="479">
      <c r="A479" s="20"/>
      <c r="E479" s="21"/>
      <c r="F479" s="21"/>
      <c r="G479" s="21"/>
    </row>
    <row r="480">
      <c r="A480" s="20"/>
      <c r="E480" s="21"/>
      <c r="F480" s="21"/>
      <c r="G480" s="21"/>
    </row>
    <row r="481">
      <c r="A481" s="20"/>
      <c r="E481" s="21"/>
      <c r="F481" s="21"/>
      <c r="G481" s="21"/>
    </row>
    <row r="482">
      <c r="A482" s="20"/>
      <c r="E482" s="21"/>
      <c r="F482" s="21"/>
      <c r="G482" s="21"/>
    </row>
    <row r="483">
      <c r="A483" s="20"/>
      <c r="E483" s="21"/>
      <c r="F483" s="21"/>
      <c r="G483" s="21"/>
    </row>
    <row r="484">
      <c r="A484" s="20"/>
      <c r="E484" s="21"/>
      <c r="F484" s="21"/>
      <c r="G484" s="21"/>
    </row>
    <row r="485">
      <c r="A485" s="20"/>
      <c r="E485" s="21"/>
      <c r="F485" s="21"/>
      <c r="G485" s="21"/>
    </row>
    <row r="486">
      <c r="A486" s="20"/>
      <c r="E486" s="21"/>
      <c r="F486" s="21"/>
      <c r="G486" s="21"/>
    </row>
    <row r="487">
      <c r="A487" s="20"/>
      <c r="E487" s="21"/>
      <c r="F487" s="21"/>
      <c r="G487" s="21"/>
    </row>
    <row r="488">
      <c r="A488" s="20"/>
      <c r="E488" s="21"/>
      <c r="F488" s="21"/>
      <c r="G488" s="21"/>
    </row>
    <row r="489">
      <c r="A489" s="20"/>
      <c r="E489" s="21"/>
      <c r="F489" s="21"/>
      <c r="G489" s="21"/>
    </row>
    <row r="490">
      <c r="A490" s="20"/>
      <c r="E490" s="21"/>
      <c r="F490" s="21"/>
      <c r="G490" s="21"/>
    </row>
    <row r="491">
      <c r="A491" s="20"/>
      <c r="E491" s="21"/>
      <c r="F491" s="21"/>
      <c r="G491" s="21"/>
    </row>
    <row r="492">
      <c r="A492" s="20"/>
      <c r="E492" s="21"/>
      <c r="F492" s="21"/>
      <c r="G492" s="21"/>
    </row>
    <row r="493">
      <c r="A493" s="20"/>
      <c r="E493" s="21"/>
      <c r="F493" s="21"/>
      <c r="G493" s="21"/>
    </row>
    <row r="494">
      <c r="A494" s="20"/>
      <c r="E494" s="21"/>
      <c r="F494" s="21"/>
      <c r="G494" s="21"/>
    </row>
    <row r="495">
      <c r="A495" s="20"/>
      <c r="E495" s="21"/>
      <c r="F495" s="21"/>
      <c r="G495" s="21"/>
    </row>
    <row r="496">
      <c r="A496" s="20"/>
      <c r="E496" s="21"/>
      <c r="F496" s="21"/>
      <c r="G496" s="21"/>
    </row>
    <row r="497">
      <c r="A497" s="20"/>
      <c r="E497" s="21"/>
      <c r="F497" s="21"/>
      <c r="G497" s="21"/>
    </row>
    <row r="498">
      <c r="A498" s="20"/>
      <c r="E498" s="21"/>
      <c r="F498" s="21"/>
      <c r="G498" s="21"/>
    </row>
    <row r="499">
      <c r="A499" s="20"/>
      <c r="E499" s="21"/>
      <c r="F499" s="21"/>
      <c r="G499" s="21"/>
    </row>
    <row r="500">
      <c r="A500" s="20"/>
      <c r="E500" s="21"/>
      <c r="F500" s="21"/>
      <c r="G500" s="21"/>
    </row>
    <row r="501">
      <c r="A501" s="20"/>
      <c r="E501" s="21"/>
      <c r="F501" s="21"/>
      <c r="G501" s="21"/>
    </row>
    <row r="502">
      <c r="A502" s="20"/>
      <c r="E502" s="21"/>
      <c r="F502" s="21"/>
      <c r="G502" s="21"/>
    </row>
    <row r="503">
      <c r="A503" s="20"/>
      <c r="E503" s="21"/>
      <c r="F503" s="21"/>
      <c r="G503" s="21"/>
    </row>
    <row r="504">
      <c r="A504" s="20"/>
      <c r="E504" s="21"/>
      <c r="F504" s="21"/>
      <c r="G504" s="21"/>
    </row>
    <row r="505">
      <c r="A505" s="20"/>
      <c r="E505" s="21"/>
      <c r="F505" s="21"/>
      <c r="G505" s="21"/>
    </row>
    <row r="506">
      <c r="A506" s="20"/>
      <c r="E506" s="21"/>
      <c r="F506" s="21"/>
      <c r="G506" s="21"/>
    </row>
    <row r="507">
      <c r="A507" s="20"/>
      <c r="E507" s="21"/>
      <c r="F507" s="21"/>
      <c r="G507" s="21"/>
    </row>
    <row r="508">
      <c r="A508" s="20"/>
      <c r="E508" s="21"/>
      <c r="F508" s="21"/>
      <c r="G508" s="21"/>
    </row>
    <row r="509">
      <c r="A509" s="20"/>
      <c r="E509" s="21"/>
      <c r="F509" s="21"/>
      <c r="G509" s="21"/>
    </row>
    <row r="510">
      <c r="A510" s="20"/>
      <c r="E510" s="21"/>
      <c r="F510" s="21"/>
      <c r="G510" s="21"/>
    </row>
    <row r="511">
      <c r="A511" s="20"/>
      <c r="E511" s="21"/>
      <c r="F511" s="21"/>
      <c r="G511" s="21"/>
    </row>
    <row r="512">
      <c r="A512" s="20"/>
      <c r="E512" s="21"/>
      <c r="F512" s="21"/>
      <c r="G512" s="21"/>
    </row>
    <row r="513">
      <c r="A513" s="20"/>
      <c r="E513" s="21"/>
      <c r="F513" s="21"/>
      <c r="G513" s="21"/>
    </row>
    <row r="514">
      <c r="A514" s="20"/>
      <c r="E514" s="21"/>
      <c r="F514" s="21"/>
      <c r="G514" s="21"/>
    </row>
    <row r="515">
      <c r="A515" s="20"/>
      <c r="E515" s="21"/>
      <c r="F515" s="21"/>
      <c r="G515" s="21"/>
    </row>
    <row r="516">
      <c r="A516" s="20"/>
      <c r="E516" s="21"/>
      <c r="F516" s="21"/>
      <c r="G516" s="21"/>
    </row>
    <row r="517">
      <c r="A517" s="20"/>
      <c r="E517" s="21"/>
      <c r="F517" s="21"/>
      <c r="G517" s="21"/>
    </row>
    <row r="518">
      <c r="A518" s="20"/>
      <c r="E518" s="21"/>
      <c r="F518" s="21"/>
      <c r="G518" s="21"/>
    </row>
    <row r="519">
      <c r="A519" s="20"/>
      <c r="E519" s="21"/>
      <c r="F519" s="21"/>
      <c r="G519" s="21"/>
    </row>
    <row r="520">
      <c r="A520" s="20"/>
      <c r="E520" s="21"/>
      <c r="F520" s="21"/>
      <c r="G520" s="21"/>
    </row>
    <row r="521">
      <c r="A521" s="20"/>
      <c r="E521" s="21"/>
      <c r="F521" s="21"/>
      <c r="G521" s="21"/>
    </row>
    <row r="522">
      <c r="A522" s="20"/>
      <c r="E522" s="21"/>
      <c r="F522" s="21"/>
      <c r="G522" s="21"/>
    </row>
    <row r="523">
      <c r="A523" s="20"/>
      <c r="E523" s="21"/>
      <c r="F523" s="21"/>
      <c r="G523" s="21"/>
    </row>
    <row r="524">
      <c r="A524" s="20"/>
      <c r="E524" s="21"/>
      <c r="F524" s="21"/>
      <c r="G524" s="21"/>
    </row>
    <row r="525">
      <c r="A525" s="20"/>
      <c r="E525" s="21"/>
      <c r="F525" s="21"/>
      <c r="G525" s="21"/>
    </row>
    <row r="526">
      <c r="A526" s="20"/>
      <c r="E526" s="21"/>
      <c r="F526" s="21"/>
      <c r="G526" s="21"/>
    </row>
    <row r="527">
      <c r="A527" s="20"/>
      <c r="E527" s="21"/>
      <c r="F527" s="21"/>
      <c r="G527" s="21"/>
    </row>
    <row r="528">
      <c r="A528" s="20"/>
      <c r="E528" s="21"/>
      <c r="F528" s="21"/>
      <c r="G528" s="21"/>
    </row>
    <row r="529">
      <c r="A529" s="20"/>
      <c r="E529" s="21"/>
      <c r="F529" s="21"/>
      <c r="G529" s="21"/>
    </row>
    <row r="530">
      <c r="A530" s="20"/>
      <c r="E530" s="21"/>
      <c r="F530" s="21"/>
      <c r="G530" s="21"/>
    </row>
    <row r="531">
      <c r="A531" s="20"/>
      <c r="E531" s="21"/>
      <c r="F531" s="21"/>
      <c r="G531" s="21"/>
    </row>
    <row r="532">
      <c r="A532" s="20"/>
      <c r="E532" s="21"/>
      <c r="F532" s="21"/>
      <c r="G532" s="21"/>
    </row>
    <row r="533">
      <c r="A533" s="20"/>
      <c r="E533" s="21"/>
      <c r="F533" s="21"/>
      <c r="G533" s="21"/>
    </row>
    <row r="534">
      <c r="A534" s="20"/>
      <c r="E534" s="21"/>
      <c r="F534" s="21"/>
      <c r="G534" s="21"/>
    </row>
    <row r="535">
      <c r="A535" s="20"/>
      <c r="E535" s="21"/>
      <c r="F535" s="21"/>
      <c r="G535" s="21"/>
    </row>
    <row r="536">
      <c r="A536" s="20"/>
      <c r="E536" s="21"/>
      <c r="F536" s="21"/>
      <c r="G536" s="21"/>
    </row>
    <row r="537">
      <c r="A537" s="20"/>
      <c r="E537" s="21"/>
      <c r="F537" s="21"/>
      <c r="G537" s="21"/>
    </row>
    <row r="538">
      <c r="A538" s="20"/>
      <c r="E538" s="21"/>
      <c r="F538" s="21"/>
      <c r="G538" s="21"/>
    </row>
    <row r="539">
      <c r="A539" s="20"/>
      <c r="E539" s="21"/>
      <c r="F539" s="21"/>
      <c r="G539" s="21"/>
    </row>
    <row r="540">
      <c r="A540" s="20"/>
      <c r="E540" s="21"/>
      <c r="F540" s="21"/>
      <c r="G540" s="21"/>
    </row>
    <row r="541">
      <c r="A541" s="20"/>
      <c r="E541" s="21"/>
      <c r="F541" s="21"/>
      <c r="G541" s="21"/>
    </row>
    <row r="542">
      <c r="A542" s="20"/>
      <c r="E542" s="21"/>
      <c r="F542" s="21"/>
      <c r="G542" s="21"/>
    </row>
    <row r="543">
      <c r="A543" s="20"/>
      <c r="E543" s="21"/>
      <c r="F543" s="21"/>
      <c r="G543" s="21"/>
    </row>
    <row r="544">
      <c r="A544" s="20"/>
      <c r="E544" s="21"/>
      <c r="F544" s="21"/>
      <c r="G544" s="21"/>
    </row>
    <row r="545">
      <c r="A545" s="20"/>
      <c r="E545" s="21"/>
      <c r="F545" s="21"/>
      <c r="G545" s="21"/>
    </row>
    <row r="546">
      <c r="A546" s="20"/>
      <c r="E546" s="21"/>
      <c r="F546" s="21"/>
      <c r="G546" s="21"/>
    </row>
    <row r="547">
      <c r="A547" s="20"/>
      <c r="E547" s="21"/>
      <c r="F547" s="21"/>
      <c r="G547" s="21"/>
    </row>
    <row r="548">
      <c r="A548" s="20"/>
      <c r="E548" s="21"/>
      <c r="F548" s="21"/>
      <c r="G548" s="21"/>
    </row>
    <row r="549">
      <c r="A549" s="20"/>
      <c r="E549" s="21"/>
      <c r="F549" s="21"/>
      <c r="G549" s="21"/>
    </row>
    <row r="550">
      <c r="A550" s="20"/>
      <c r="E550" s="21"/>
      <c r="F550" s="21"/>
      <c r="G550" s="21"/>
    </row>
    <row r="551">
      <c r="A551" s="20"/>
      <c r="E551" s="21"/>
      <c r="F551" s="21"/>
      <c r="G551" s="21"/>
    </row>
    <row r="552">
      <c r="A552" s="20"/>
      <c r="E552" s="21"/>
      <c r="F552" s="21"/>
      <c r="G552" s="21"/>
    </row>
    <row r="553">
      <c r="A553" s="20"/>
      <c r="E553" s="21"/>
      <c r="F553" s="21"/>
      <c r="G553" s="21"/>
    </row>
    <row r="554">
      <c r="A554" s="20"/>
      <c r="E554" s="21"/>
      <c r="F554" s="21"/>
      <c r="G554" s="21"/>
    </row>
    <row r="555">
      <c r="A555" s="20"/>
      <c r="E555" s="21"/>
      <c r="F555" s="21"/>
      <c r="G555" s="21"/>
    </row>
    <row r="556">
      <c r="A556" s="20"/>
      <c r="E556" s="21"/>
      <c r="F556" s="21"/>
      <c r="G556" s="21"/>
    </row>
    <row r="557">
      <c r="A557" s="20"/>
      <c r="E557" s="21"/>
      <c r="F557" s="21"/>
      <c r="G557" s="21"/>
    </row>
    <row r="558">
      <c r="A558" s="20"/>
      <c r="E558" s="21"/>
      <c r="F558" s="21"/>
      <c r="G558" s="21"/>
    </row>
    <row r="559">
      <c r="A559" s="20"/>
      <c r="E559" s="21"/>
      <c r="F559" s="21"/>
      <c r="G559" s="21"/>
    </row>
    <row r="560">
      <c r="A560" s="20"/>
      <c r="E560" s="21"/>
      <c r="F560" s="21"/>
      <c r="G560" s="21"/>
    </row>
    <row r="561">
      <c r="A561" s="20"/>
      <c r="E561" s="21"/>
      <c r="F561" s="21"/>
      <c r="G561" s="21"/>
    </row>
    <row r="562">
      <c r="A562" s="20"/>
      <c r="E562" s="21"/>
      <c r="F562" s="21"/>
      <c r="G562" s="21"/>
    </row>
    <row r="563">
      <c r="A563" s="20"/>
      <c r="E563" s="21"/>
      <c r="F563" s="21"/>
      <c r="G563" s="21"/>
    </row>
    <row r="564">
      <c r="A564" s="20"/>
      <c r="E564" s="21"/>
      <c r="F564" s="21"/>
      <c r="G564" s="21"/>
    </row>
    <row r="565">
      <c r="A565" s="20"/>
      <c r="E565" s="21"/>
      <c r="F565" s="21"/>
      <c r="G565" s="21"/>
    </row>
    <row r="566">
      <c r="A566" s="20"/>
      <c r="E566" s="21"/>
      <c r="F566" s="21"/>
      <c r="G566" s="21"/>
    </row>
    <row r="567">
      <c r="A567" s="20"/>
      <c r="E567" s="21"/>
      <c r="F567" s="21"/>
      <c r="G567" s="21"/>
    </row>
    <row r="568">
      <c r="A568" s="20"/>
      <c r="E568" s="21"/>
      <c r="F568" s="21"/>
      <c r="G568" s="21"/>
    </row>
    <row r="569">
      <c r="A569" s="20"/>
      <c r="E569" s="21"/>
      <c r="F569" s="21"/>
      <c r="G569" s="21"/>
    </row>
    <row r="570">
      <c r="A570" s="20"/>
      <c r="E570" s="21"/>
      <c r="F570" s="21"/>
      <c r="G570" s="21"/>
    </row>
    <row r="571">
      <c r="A571" s="20"/>
      <c r="E571" s="21"/>
      <c r="F571" s="21"/>
      <c r="G571" s="21"/>
    </row>
    <row r="572">
      <c r="A572" s="20"/>
      <c r="E572" s="21"/>
      <c r="F572" s="21"/>
      <c r="G572" s="21"/>
    </row>
    <row r="573">
      <c r="A573" s="20"/>
      <c r="E573" s="21"/>
      <c r="F573" s="21"/>
      <c r="G573" s="21"/>
    </row>
    <row r="574">
      <c r="A574" s="20"/>
      <c r="E574" s="21"/>
      <c r="F574" s="21"/>
      <c r="G574" s="21"/>
    </row>
    <row r="575">
      <c r="A575" s="20"/>
      <c r="E575" s="21"/>
      <c r="F575" s="21"/>
      <c r="G575" s="21"/>
    </row>
    <row r="576">
      <c r="A576" s="20"/>
      <c r="E576" s="21"/>
      <c r="F576" s="21"/>
      <c r="G576" s="21"/>
    </row>
    <row r="577">
      <c r="A577" s="20"/>
      <c r="E577" s="21"/>
      <c r="F577" s="21"/>
      <c r="G577" s="21"/>
    </row>
    <row r="578">
      <c r="A578" s="20"/>
      <c r="E578" s="21"/>
      <c r="F578" s="21"/>
      <c r="G578" s="21"/>
    </row>
    <row r="579">
      <c r="A579" s="20"/>
      <c r="E579" s="21"/>
      <c r="F579" s="21"/>
      <c r="G579" s="21"/>
    </row>
    <row r="580">
      <c r="A580" s="20"/>
      <c r="E580" s="21"/>
      <c r="F580" s="21"/>
      <c r="G580" s="21"/>
    </row>
    <row r="581">
      <c r="A581" s="20"/>
      <c r="E581" s="21"/>
      <c r="F581" s="21"/>
      <c r="G581" s="21"/>
    </row>
    <row r="582">
      <c r="A582" s="20"/>
      <c r="E582" s="21"/>
      <c r="F582" s="21"/>
      <c r="G582" s="21"/>
    </row>
    <row r="583">
      <c r="A583" s="20"/>
      <c r="E583" s="21"/>
      <c r="F583" s="21"/>
      <c r="G583" s="21"/>
    </row>
    <row r="584">
      <c r="A584" s="20"/>
      <c r="E584" s="21"/>
      <c r="F584" s="21"/>
      <c r="G584" s="21"/>
    </row>
    <row r="585">
      <c r="A585" s="20"/>
      <c r="E585" s="21"/>
      <c r="F585" s="21"/>
      <c r="G585" s="21"/>
    </row>
    <row r="586">
      <c r="A586" s="20"/>
      <c r="E586" s="21"/>
      <c r="F586" s="21"/>
      <c r="G586" s="21"/>
    </row>
    <row r="587">
      <c r="A587" s="20"/>
      <c r="E587" s="21"/>
      <c r="F587" s="21"/>
      <c r="G587" s="21"/>
    </row>
    <row r="588">
      <c r="A588" s="20"/>
      <c r="E588" s="21"/>
      <c r="F588" s="21"/>
      <c r="G588" s="21"/>
    </row>
    <row r="589">
      <c r="A589" s="20"/>
      <c r="E589" s="21"/>
      <c r="F589" s="21"/>
      <c r="G589" s="21"/>
    </row>
    <row r="590">
      <c r="A590" s="20"/>
      <c r="E590" s="21"/>
      <c r="F590" s="21"/>
      <c r="G590" s="21"/>
    </row>
    <row r="591">
      <c r="A591" s="20"/>
      <c r="E591" s="21"/>
      <c r="F591" s="21"/>
      <c r="G591" s="21"/>
    </row>
    <row r="592">
      <c r="A592" s="20"/>
      <c r="E592" s="21"/>
      <c r="F592" s="21"/>
      <c r="G592" s="21"/>
    </row>
    <row r="593">
      <c r="A593" s="20"/>
      <c r="E593" s="21"/>
      <c r="F593" s="21"/>
      <c r="G593" s="21"/>
    </row>
    <row r="594">
      <c r="A594" s="20"/>
      <c r="E594" s="21"/>
      <c r="F594" s="21"/>
      <c r="G594" s="21"/>
    </row>
    <row r="595">
      <c r="A595" s="20"/>
      <c r="E595" s="21"/>
      <c r="F595" s="21"/>
      <c r="G595" s="21"/>
    </row>
    <row r="596">
      <c r="A596" s="20"/>
      <c r="E596" s="21"/>
      <c r="F596" s="21"/>
      <c r="G596" s="21"/>
    </row>
    <row r="597">
      <c r="A597" s="20"/>
      <c r="E597" s="21"/>
      <c r="F597" s="21"/>
      <c r="G597" s="21"/>
    </row>
    <row r="598">
      <c r="A598" s="20"/>
      <c r="E598" s="21"/>
      <c r="F598" s="21"/>
      <c r="G598" s="21"/>
    </row>
    <row r="599">
      <c r="A599" s="20"/>
      <c r="E599" s="21"/>
      <c r="F599" s="21"/>
      <c r="G599" s="21"/>
    </row>
    <row r="600">
      <c r="A600" s="20"/>
      <c r="E600" s="21"/>
      <c r="F600" s="21"/>
      <c r="G600" s="21"/>
    </row>
    <row r="601">
      <c r="A601" s="20"/>
      <c r="E601" s="21"/>
      <c r="F601" s="21"/>
      <c r="G601" s="21"/>
    </row>
    <row r="602">
      <c r="A602" s="20"/>
      <c r="E602" s="21"/>
      <c r="F602" s="21"/>
      <c r="G602" s="21"/>
    </row>
    <row r="603">
      <c r="A603" s="20"/>
      <c r="E603" s="21"/>
      <c r="F603" s="21"/>
      <c r="G603" s="21"/>
    </row>
    <row r="604">
      <c r="A604" s="20"/>
      <c r="E604" s="21"/>
      <c r="F604" s="21"/>
      <c r="G604" s="21"/>
    </row>
    <row r="605">
      <c r="A605" s="20"/>
      <c r="E605" s="21"/>
      <c r="F605" s="21"/>
      <c r="G605" s="21"/>
    </row>
    <row r="606">
      <c r="A606" s="20"/>
      <c r="E606" s="21"/>
      <c r="F606" s="21"/>
      <c r="G606" s="21"/>
    </row>
    <row r="607">
      <c r="A607" s="20"/>
      <c r="E607" s="21"/>
      <c r="F607" s="21"/>
      <c r="G607" s="21"/>
    </row>
    <row r="608">
      <c r="A608" s="20"/>
      <c r="E608" s="21"/>
      <c r="F608" s="21"/>
      <c r="G608" s="21"/>
    </row>
    <row r="609">
      <c r="A609" s="20"/>
      <c r="E609" s="21"/>
      <c r="F609" s="21"/>
      <c r="G609" s="21"/>
    </row>
    <row r="610">
      <c r="A610" s="20"/>
      <c r="E610" s="21"/>
      <c r="F610" s="21"/>
      <c r="G610" s="21"/>
    </row>
    <row r="611">
      <c r="A611" s="20"/>
      <c r="E611" s="21"/>
      <c r="F611" s="21"/>
      <c r="G611" s="21"/>
    </row>
    <row r="612">
      <c r="A612" s="20"/>
      <c r="E612" s="21"/>
      <c r="F612" s="21"/>
      <c r="G612" s="21"/>
    </row>
    <row r="613">
      <c r="A613" s="20"/>
      <c r="E613" s="21"/>
      <c r="F613" s="21"/>
      <c r="G613" s="21"/>
    </row>
    <row r="614">
      <c r="A614" s="20"/>
      <c r="E614" s="21"/>
      <c r="F614" s="21"/>
      <c r="G614" s="21"/>
    </row>
    <row r="615">
      <c r="A615" s="20"/>
      <c r="E615" s="21"/>
      <c r="F615" s="21"/>
      <c r="G615" s="21"/>
    </row>
    <row r="616">
      <c r="A616" s="20"/>
      <c r="E616" s="21"/>
      <c r="F616" s="21"/>
      <c r="G616" s="21"/>
    </row>
    <row r="617">
      <c r="A617" s="20"/>
      <c r="E617" s="21"/>
      <c r="F617" s="21"/>
      <c r="G617" s="21"/>
    </row>
    <row r="618">
      <c r="A618" s="20"/>
      <c r="E618" s="21"/>
      <c r="F618" s="21"/>
      <c r="G618" s="21"/>
    </row>
    <row r="619">
      <c r="A619" s="20"/>
      <c r="E619" s="21"/>
      <c r="F619" s="21"/>
      <c r="G619" s="21"/>
    </row>
    <row r="620">
      <c r="A620" s="20"/>
      <c r="E620" s="21"/>
      <c r="F620" s="21"/>
      <c r="G620" s="21"/>
    </row>
    <row r="621">
      <c r="A621" s="20"/>
      <c r="E621" s="21"/>
      <c r="F621" s="21"/>
      <c r="G621" s="21"/>
    </row>
    <row r="622">
      <c r="A622" s="20"/>
      <c r="E622" s="21"/>
      <c r="F622" s="21"/>
      <c r="G622" s="21"/>
    </row>
    <row r="623">
      <c r="A623" s="20"/>
      <c r="E623" s="21"/>
      <c r="F623" s="21"/>
      <c r="G623" s="21"/>
    </row>
    <row r="624">
      <c r="A624" s="20"/>
      <c r="E624" s="21"/>
      <c r="F624" s="21"/>
      <c r="G624" s="21"/>
    </row>
    <row r="625">
      <c r="A625" s="20"/>
      <c r="E625" s="21"/>
      <c r="F625" s="21"/>
      <c r="G625" s="21"/>
    </row>
    <row r="626">
      <c r="A626" s="20"/>
      <c r="E626" s="21"/>
      <c r="F626" s="21"/>
      <c r="G626" s="21"/>
    </row>
    <row r="627">
      <c r="A627" s="20"/>
      <c r="E627" s="21"/>
      <c r="F627" s="21"/>
      <c r="G627" s="21"/>
    </row>
    <row r="628">
      <c r="A628" s="20"/>
      <c r="E628" s="21"/>
      <c r="F628" s="21"/>
      <c r="G628" s="21"/>
    </row>
    <row r="629">
      <c r="A629" s="20"/>
      <c r="E629" s="21"/>
      <c r="F629" s="21"/>
      <c r="G629" s="21"/>
    </row>
    <row r="630">
      <c r="A630" s="20"/>
      <c r="E630" s="21"/>
      <c r="F630" s="21"/>
      <c r="G630" s="21"/>
    </row>
    <row r="631">
      <c r="A631" s="20"/>
      <c r="E631" s="21"/>
      <c r="F631" s="21"/>
      <c r="G631" s="21"/>
    </row>
    <row r="632">
      <c r="A632" s="20"/>
      <c r="E632" s="21"/>
      <c r="F632" s="21"/>
      <c r="G632" s="21"/>
    </row>
    <row r="633">
      <c r="A633" s="20"/>
      <c r="E633" s="21"/>
      <c r="F633" s="21"/>
      <c r="G633" s="21"/>
    </row>
    <row r="634">
      <c r="A634" s="20"/>
      <c r="E634" s="21"/>
      <c r="F634" s="21"/>
      <c r="G634" s="21"/>
    </row>
    <row r="635">
      <c r="A635" s="20"/>
      <c r="E635" s="21"/>
      <c r="F635" s="21"/>
      <c r="G635" s="21"/>
    </row>
    <row r="636">
      <c r="A636" s="20"/>
      <c r="E636" s="21"/>
      <c r="F636" s="21"/>
      <c r="G636" s="21"/>
    </row>
    <row r="637">
      <c r="A637" s="20"/>
      <c r="E637" s="21"/>
      <c r="F637" s="21"/>
      <c r="G637" s="21"/>
    </row>
    <row r="638">
      <c r="A638" s="20"/>
      <c r="E638" s="21"/>
      <c r="F638" s="21"/>
      <c r="G638" s="21"/>
    </row>
    <row r="639">
      <c r="A639" s="20"/>
      <c r="E639" s="21"/>
      <c r="F639" s="21"/>
      <c r="G639" s="21"/>
    </row>
    <row r="640">
      <c r="A640" s="20"/>
      <c r="E640" s="21"/>
      <c r="F640" s="21"/>
      <c r="G640" s="21"/>
    </row>
    <row r="641">
      <c r="A641" s="20"/>
      <c r="E641" s="21"/>
      <c r="F641" s="21"/>
      <c r="G641" s="21"/>
    </row>
    <row r="642">
      <c r="A642" s="20"/>
      <c r="E642" s="21"/>
      <c r="F642" s="21"/>
      <c r="G642" s="21"/>
    </row>
    <row r="643">
      <c r="A643" s="20"/>
      <c r="E643" s="21"/>
      <c r="F643" s="21"/>
      <c r="G643" s="21"/>
    </row>
    <row r="644">
      <c r="A644" s="20"/>
      <c r="E644" s="21"/>
      <c r="F644" s="21"/>
      <c r="G644" s="21"/>
    </row>
    <row r="645">
      <c r="A645" s="20"/>
      <c r="E645" s="21"/>
      <c r="F645" s="21"/>
      <c r="G645" s="21"/>
    </row>
    <row r="646">
      <c r="A646" s="20"/>
      <c r="E646" s="21"/>
      <c r="F646" s="21"/>
      <c r="G646" s="21"/>
    </row>
    <row r="647">
      <c r="A647" s="20"/>
      <c r="E647" s="21"/>
      <c r="F647" s="21"/>
      <c r="G647" s="21"/>
    </row>
    <row r="648">
      <c r="A648" s="20"/>
      <c r="E648" s="21"/>
      <c r="F648" s="21"/>
      <c r="G648" s="21"/>
    </row>
    <row r="649">
      <c r="A649" s="20"/>
      <c r="E649" s="21"/>
      <c r="F649" s="21"/>
      <c r="G649" s="21"/>
    </row>
    <row r="650">
      <c r="A650" s="20"/>
      <c r="E650" s="21"/>
      <c r="F650" s="21"/>
      <c r="G650" s="21"/>
    </row>
    <row r="651">
      <c r="A651" s="20"/>
      <c r="E651" s="21"/>
      <c r="F651" s="21"/>
      <c r="G651" s="21"/>
    </row>
    <row r="652">
      <c r="A652" s="20"/>
      <c r="E652" s="21"/>
      <c r="F652" s="21"/>
      <c r="G652" s="21"/>
    </row>
    <row r="653">
      <c r="A653" s="20"/>
      <c r="E653" s="21"/>
      <c r="F653" s="21"/>
      <c r="G653" s="21"/>
    </row>
    <row r="654">
      <c r="A654" s="20"/>
      <c r="E654" s="21"/>
      <c r="F654" s="21"/>
      <c r="G654" s="21"/>
    </row>
    <row r="655">
      <c r="A655" s="20"/>
      <c r="E655" s="21"/>
      <c r="F655" s="21"/>
      <c r="G655" s="21"/>
    </row>
    <row r="656">
      <c r="A656" s="20"/>
      <c r="E656" s="21"/>
      <c r="F656" s="21"/>
      <c r="G656" s="21"/>
    </row>
    <row r="657">
      <c r="A657" s="20"/>
      <c r="E657" s="21"/>
      <c r="F657" s="21"/>
      <c r="G657" s="21"/>
    </row>
    <row r="658">
      <c r="A658" s="20"/>
      <c r="E658" s="21"/>
      <c r="F658" s="21"/>
      <c r="G658" s="21"/>
    </row>
    <row r="659">
      <c r="A659" s="20"/>
      <c r="E659" s="21"/>
      <c r="F659" s="21"/>
      <c r="G659" s="21"/>
    </row>
    <row r="660">
      <c r="A660" s="20"/>
      <c r="E660" s="21"/>
      <c r="F660" s="21"/>
      <c r="G660" s="21"/>
    </row>
    <row r="661">
      <c r="A661" s="20"/>
      <c r="E661" s="21"/>
      <c r="F661" s="21"/>
      <c r="G661" s="21"/>
    </row>
    <row r="662">
      <c r="A662" s="20"/>
      <c r="E662" s="21"/>
      <c r="F662" s="21"/>
      <c r="G662" s="21"/>
    </row>
    <row r="663">
      <c r="A663" s="20"/>
      <c r="E663" s="21"/>
      <c r="F663" s="21"/>
      <c r="G663" s="21"/>
    </row>
    <row r="664">
      <c r="A664" s="20"/>
      <c r="E664" s="21"/>
      <c r="F664" s="21"/>
      <c r="G664" s="21"/>
    </row>
    <row r="665">
      <c r="A665" s="20"/>
      <c r="E665" s="21"/>
      <c r="F665" s="21"/>
      <c r="G665" s="21"/>
    </row>
    <row r="666">
      <c r="A666" s="20"/>
      <c r="E666" s="21"/>
      <c r="F666" s="21"/>
      <c r="G666" s="21"/>
    </row>
    <row r="667">
      <c r="A667" s="20"/>
      <c r="E667" s="21"/>
      <c r="F667" s="21"/>
      <c r="G667" s="21"/>
    </row>
    <row r="668">
      <c r="A668" s="20"/>
      <c r="E668" s="21"/>
      <c r="F668" s="21"/>
      <c r="G668" s="21"/>
    </row>
    <row r="669">
      <c r="A669" s="20"/>
      <c r="E669" s="21"/>
      <c r="F669" s="21"/>
      <c r="G669" s="21"/>
    </row>
    <row r="670">
      <c r="A670" s="20"/>
      <c r="E670" s="21"/>
      <c r="F670" s="21"/>
      <c r="G670" s="21"/>
    </row>
    <row r="671">
      <c r="A671" s="20"/>
      <c r="E671" s="21"/>
      <c r="F671" s="21"/>
      <c r="G671" s="21"/>
    </row>
    <row r="672">
      <c r="A672" s="20"/>
      <c r="E672" s="21"/>
      <c r="F672" s="21"/>
      <c r="G672" s="21"/>
    </row>
    <row r="673">
      <c r="A673" s="20"/>
      <c r="E673" s="21"/>
      <c r="F673" s="21"/>
      <c r="G673" s="21"/>
    </row>
    <row r="674">
      <c r="A674" s="20"/>
      <c r="E674" s="21"/>
      <c r="F674" s="21"/>
      <c r="G674" s="21"/>
    </row>
    <row r="675">
      <c r="A675" s="20"/>
      <c r="E675" s="21"/>
      <c r="F675" s="21"/>
      <c r="G675" s="21"/>
    </row>
    <row r="676">
      <c r="A676" s="20"/>
      <c r="E676" s="21"/>
      <c r="F676" s="21"/>
      <c r="G676" s="21"/>
    </row>
    <row r="677">
      <c r="A677" s="20"/>
      <c r="E677" s="21"/>
      <c r="F677" s="21"/>
      <c r="G677" s="21"/>
    </row>
    <row r="678">
      <c r="A678" s="20"/>
      <c r="E678" s="21"/>
      <c r="F678" s="21"/>
      <c r="G678" s="21"/>
    </row>
    <row r="679">
      <c r="A679" s="20"/>
      <c r="E679" s="21"/>
      <c r="F679" s="21"/>
      <c r="G679" s="21"/>
    </row>
    <row r="680">
      <c r="A680" s="20"/>
      <c r="E680" s="21"/>
      <c r="F680" s="21"/>
      <c r="G680" s="21"/>
    </row>
    <row r="681">
      <c r="A681" s="20"/>
      <c r="E681" s="21"/>
      <c r="F681" s="21"/>
      <c r="G681" s="21"/>
    </row>
    <row r="682">
      <c r="A682" s="20"/>
      <c r="E682" s="21"/>
      <c r="F682" s="21"/>
      <c r="G682" s="21"/>
    </row>
    <row r="683">
      <c r="A683" s="20"/>
      <c r="E683" s="21"/>
      <c r="F683" s="21"/>
      <c r="G683" s="21"/>
    </row>
    <row r="684">
      <c r="A684" s="20"/>
      <c r="E684" s="21"/>
      <c r="F684" s="21"/>
      <c r="G684" s="21"/>
    </row>
    <row r="685">
      <c r="A685" s="20"/>
      <c r="E685" s="21"/>
      <c r="F685" s="21"/>
      <c r="G685" s="21"/>
    </row>
    <row r="686">
      <c r="A686" s="20"/>
      <c r="E686" s="21"/>
      <c r="F686" s="21"/>
      <c r="G686" s="21"/>
    </row>
    <row r="687">
      <c r="A687" s="20"/>
      <c r="E687" s="21"/>
      <c r="F687" s="21"/>
      <c r="G687" s="21"/>
    </row>
    <row r="688">
      <c r="A688" s="20"/>
      <c r="E688" s="21"/>
      <c r="F688" s="21"/>
      <c r="G688" s="21"/>
    </row>
    <row r="689">
      <c r="A689" s="20"/>
      <c r="E689" s="21"/>
      <c r="F689" s="21"/>
      <c r="G689" s="21"/>
    </row>
    <row r="690">
      <c r="A690" s="20"/>
      <c r="E690" s="21"/>
      <c r="F690" s="21"/>
      <c r="G690" s="21"/>
    </row>
    <row r="691">
      <c r="A691" s="20"/>
      <c r="E691" s="21"/>
      <c r="F691" s="21"/>
      <c r="G691" s="21"/>
    </row>
    <row r="692">
      <c r="A692" s="20"/>
      <c r="E692" s="21"/>
      <c r="F692" s="21"/>
      <c r="G692" s="21"/>
    </row>
    <row r="693">
      <c r="A693" s="20"/>
      <c r="E693" s="21"/>
      <c r="F693" s="21"/>
      <c r="G693" s="21"/>
    </row>
    <row r="694">
      <c r="A694" s="20"/>
      <c r="E694" s="21"/>
      <c r="F694" s="21"/>
      <c r="G694" s="21"/>
    </row>
    <row r="695">
      <c r="A695" s="20"/>
      <c r="E695" s="21"/>
      <c r="F695" s="21"/>
      <c r="G695" s="21"/>
    </row>
    <row r="696">
      <c r="A696" s="20"/>
      <c r="E696" s="21"/>
      <c r="F696" s="21"/>
      <c r="G696" s="21"/>
    </row>
    <row r="697">
      <c r="A697" s="20"/>
      <c r="E697" s="21"/>
      <c r="F697" s="21"/>
      <c r="G697" s="21"/>
    </row>
    <row r="698">
      <c r="A698" s="20"/>
      <c r="E698" s="21"/>
      <c r="F698" s="21"/>
      <c r="G698" s="21"/>
    </row>
    <row r="699">
      <c r="A699" s="20"/>
      <c r="E699" s="21"/>
      <c r="F699" s="21"/>
      <c r="G699" s="21"/>
    </row>
    <row r="700">
      <c r="A700" s="20"/>
      <c r="E700" s="21"/>
      <c r="F700" s="21"/>
      <c r="G700" s="21"/>
    </row>
    <row r="701">
      <c r="A701" s="20"/>
      <c r="E701" s="21"/>
      <c r="F701" s="21"/>
      <c r="G701" s="21"/>
    </row>
    <row r="702">
      <c r="A702" s="20"/>
      <c r="E702" s="21"/>
      <c r="F702" s="21"/>
      <c r="G702" s="21"/>
    </row>
    <row r="703">
      <c r="A703" s="20"/>
      <c r="E703" s="21"/>
      <c r="F703" s="21"/>
      <c r="G703" s="21"/>
    </row>
    <row r="704">
      <c r="A704" s="20"/>
      <c r="E704" s="21"/>
      <c r="F704" s="21"/>
      <c r="G704" s="21"/>
    </row>
    <row r="705">
      <c r="A705" s="20"/>
      <c r="E705" s="21"/>
      <c r="F705" s="21"/>
      <c r="G705" s="21"/>
    </row>
    <row r="706">
      <c r="A706" s="20"/>
      <c r="E706" s="21"/>
      <c r="F706" s="21"/>
      <c r="G706" s="21"/>
    </row>
    <row r="707">
      <c r="A707" s="20"/>
      <c r="E707" s="21"/>
      <c r="F707" s="21"/>
      <c r="G707" s="21"/>
    </row>
    <row r="708">
      <c r="A708" s="20"/>
      <c r="E708" s="21"/>
      <c r="F708" s="21"/>
      <c r="G708" s="21"/>
    </row>
    <row r="709">
      <c r="A709" s="20"/>
      <c r="E709" s="21"/>
      <c r="F709" s="21"/>
      <c r="G709" s="21"/>
    </row>
    <row r="710">
      <c r="A710" s="20"/>
      <c r="E710" s="21"/>
      <c r="F710" s="21"/>
      <c r="G710" s="21"/>
    </row>
    <row r="711">
      <c r="A711" s="20"/>
      <c r="E711" s="21"/>
      <c r="F711" s="21"/>
      <c r="G711" s="21"/>
    </row>
    <row r="712">
      <c r="A712" s="20"/>
      <c r="E712" s="21"/>
      <c r="F712" s="21"/>
      <c r="G712" s="21"/>
    </row>
    <row r="713">
      <c r="A713" s="20"/>
      <c r="E713" s="21"/>
      <c r="F713" s="21"/>
      <c r="G713" s="21"/>
    </row>
    <row r="714">
      <c r="A714" s="20"/>
      <c r="E714" s="21"/>
      <c r="F714" s="21"/>
      <c r="G714" s="21"/>
    </row>
    <row r="715">
      <c r="A715" s="20"/>
      <c r="E715" s="21"/>
      <c r="F715" s="21"/>
      <c r="G715" s="21"/>
    </row>
    <row r="716">
      <c r="A716" s="20"/>
      <c r="E716" s="21"/>
      <c r="F716" s="21"/>
      <c r="G716" s="21"/>
    </row>
    <row r="717">
      <c r="A717" s="20"/>
      <c r="E717" s="21"/>
      <c r="F717" s="21"/>
      <c r="G717" s="21"/>
    </row>
    <row r="718">
      <c r="A718" s="20"/>
      <c r="E718" s="21"/>
      <c r="F718" s="21"/>
      <c r="G718" s="21"/>
    </row>
    <row r="719">
      <c r="A719" s="20"/>
      <c r="E719" s="21"/>
      <c r="F719" s="21"/>
      <c r="G719" s="21"/>
    </row>
    <row r="720">
      <c r="A720" s="20"/>
      <c r="E720" s="21"/>
      <c r="F720" s="21"/>
      <c r="G720" s="21"/>
    </row>
    <row r="721">
      <c r="A721" s="20"/>
      <c r="E721" s="21"/>
      <c r="F721" s="21"/>
      <c r="G721" s="21"/>
    </row>
    <row r="722">
      <c r="A722" s="20"/>
      <c r="E722" s="21"/>
      <c r="F722" s="21"/>
      <c r="G722" s="21"/>
    </row>
    <row r="723">
      <c r="A723" s="20"/>
      <c r="E723" s="21"/>
      <c r="F723" s="21"/>
      <c r="G723" s="21"/>
    </row>
    <row r="724">
      <c r="A724" s="20"/>
      <c r="E724" s="21"/>
      <c r="F724" s="21"/>
      <c r="G724" s="21"/>
    </row>
    <row r="725">
      <c r="A725" s="20"/>
      <c r="E725" s="21"/>
      <c r="F725" s="21"/>
      <c r="G725" s="21"/>
    </row>
    <row r="726">
      <c r="A726" s="20"/>
      <c r="E726" s="21"/>
      <c r="F726" s="21"/>
      <c r="G726" s="21"/>
    </row>
    <row r="727">
      <c r="A727" s="20"/>
      <c r="E727" s="21"/>
      <c r="F727" s="21"/>
      <c r="G727" s="21"/>
    </row>
    <row r="728">
      <c r="A728" s="20"/>
      <c r="E728" s="21"/>
      <c r="F728" s="21"/>
      <c r="G728" s="21"/>
    </row>
    <row r="729">
      <c r="A729" s="20"/>
      <c r="E729" s="21"/>
      <c r="F729" s="21"/>
      <c r="G729" s="21"/>
    </row>
    <row r="730">
      <c r="A730" s="20"/>
      <c r="E730" s="21"/>
      <c r="F730" s="21"/>
      <c r="G730" s="21"/>
    </row>
    <row r="731">
      <c r="A731" s="20"/>
      <c r="E731" s="21"/>
      <c r="F731" s="21"/>
      <c r="G731" s="21"/>
    </row>
    <row r="732">
      <c r="A732" s="20"/>
      <c r="E732" s="21"/>
      <c r="F732" s="21"/>
      <c r="G732" s="21"/>
    </row>
    <row r="733">
      <c r="A733" s="20"/>
      <c r="E733" s="21"/>
      <c r="F733" s="21"/>
      <c r="G733" s="21"/>
    </row>
    <row r="734">
      <c r="A734" s="20"/>
      <c r="E734" s="21"/>
      <c r="F734" s="21"/>
      <c r="G734" s="21"/>
    </row>
    <row r="735">
      <c r="A735" s="20"/>
      <c r="E735" s="21"/>
      <c r="F735" s="21"/>
      <c r="G735" s="21"/>
    </row>
    <row r="736">
      <c r="A736" s="20"/>
      <c r="E736" s="21"/>
      <c r="F736" s="21"/>
      <c r="G736" s="21"/>
    </row>
    <row r="737">
      <c r="A737" s="20"/>
      <c r="E737" s="21"/>
      <c r="F737" s="21"/>
      <c r="G737" s="21"/>
    </row>
    <row r="738">
      <c r="A738" s="20"/>
      <c r="E738" s="21"/>
      <c r="F738" s="21"/>
      <c r="G738" s="21"/>
    </row>
    <row r="739">
      <c r="A739" s="20"/>
      <c r="E739" s="21"/>
      <c r="F739" s="21"/>
      <c r="G739" s="21"/>
    </row>
    <row r="740">
      <c r="A740" s="20"/>
      <c r="E740" s="21"/>
      <c r="F740" s="21"/>
      <c r="G740" s="21"/>
    </row>
    <row r="741">
      <c r="A741" s="20"/>
      <c r="E741" s="21"/>
      <c r="F741" s="21"/>
      <c r="G741" s="21"/>
    </row>
    <row r="742">
      <c r="A742" s="20"/>
      <c r="E742" s="21"/>
      <c r="F742" s="21"/>
      <c r="G742" s="21"/>
    </row>
    <row r="743">
      <c r="A743" s="20"/>
      <c r="E743" s="21"/>
      <c r="F743" s="21"/>
      <c r="G743" s="21"/>
    </row>
    <row r="744">
      <c r="A744" s="20"/>
      <c r="E744" s="21"/>
      <c r="F744" s="21"/>
      <c r="G744" s="21"/>
    </row>
    <row r="745">
      <c r="A745" s="20"/>
      <c r="E745" s="21"/>
      <c r="F745" s="21"/>
      <c r="G745" s="21"/>
    </row>
    <row r="746">
      <c r="A746" s="20"/>
      <c r="E746" s="21"/>
      <c r="F746" s="21"/>
      <c r="G746" s="21"/>
    </row>
    <row r="747">
      <c r="A747" s="20"/>
      <c r="E747" s="21"/>
      <c r="F747" s="21"/>
      <c r="G747" s="21"/>
    </row>
    <row r="748">
      <c r="A748" s="20"/>
      <c r="E748" s="21"/>
      <c r="F748" s="21"/>
      <c r="G748" s="21"/>
    </row>
    <row r="749">
      <c r="A749" s="20"/>
      <c r="E749" s="21"/>
      <c r="F749" s="21"/>
      <c r="G749" s="21"/>
    </row>
    <row r="750">
      <c r="A750" s="20"/>
      <c r="E750" s="21"/>
      <c r="F750" s="21"/>
      <c r="G750" s="21"/>
    </row>
    <row r="751">
      <c r="A751" s="20"/>
      <c r="E751" s="21"/>
      <c r="F751" s="21"/>
      <c r="G751" s="21"/>
    </row>
    <row r="752">
      <c r="A752" s="20"/>
      <c r="E752" s="21"/>
      <c r="F752" s="21"/>
      <c r="G752" s="21"/>
    </row>
    <row r="753">
      <c r="A753" s="20"/>
      <c r="E753" s="21"/>
      <c r="F753" s="21"/>
      <c r="G753" s="21"/>
    </row>
    <row r="754">
      <c r="A754" s="20"/>
      <c r="E754" s="21"/>
      <c r="F754" s="21"/>
      <c r="G754" s="21"/>
    </row>
    <row r="755">
      <c r="A755" s="20"/>
      <c r="E755" s="21"/>
      <c r="F755" s="21"/>
      <c r="G755" s="21"/>
    </row>
    <row r="756">
      <c r="A756" s="20"/>
      <c r="E756" s="21"/>
      <c r="F756" s="21"/>
      <c r="G756" s="21"/>
    </row>
    <row r="757">
      <c r="A757" s="20"/>
      <c r="E757" s="21"/>
      <c r="F757" s="21"/>
      <c r="G757" s="21"/>
    </row>
    <row r="758">
      <c r="A758" s="20"/>
      <c r="E758" s="21"/>
      <c r="F758" s="21"/>
      <c r="G758" s="21"/>
    </row>
    <row r="759">
      <c r="A759" s="20"/>
      <c r="E759" s="21"/>
      <c r="F759" s="21"/>
      <c r="G759" s="21"/>
    </row>
    <row r="760">
      <c r="A760" s="20"/>
      <c r="E760" s="21"/>
      <c r="F760" s="21"/>
      <c r="G760" s="21"/>
    </row>
    <row r="761">
      <c r="A761" s="20"/>
      <c r="E761" s="21"/>
      <c r="F761" s="21"/>
      <c r="G761" s="21"/>
    </row>
    <row r="762">
      <c r="A762" s="20"/>
      <c r="E762" s="21"/>
      <c r="F762" s="21"/>
      <c r="G762" s="21"/>
    </row>
    <row r="763">
      <c r="A763" s="20"/>
      <c r="E763" s="21"/>
      <c r="F763" s="21"/>
      <c r="G763" s="21"/>
    </row>
    <row r="764">
      <c r="A764" s="20"/>
      <c r="E764" s="21"/>
      <c r="F764" s="21"/>
      <c r="G764" s="21"/>
    </row>
    <row r="765">
      <c r="A765" s="20"/>
      <c r="E765" s="21"/>
      <c r="F765" s="21"/>
      <c r="G765" s="21"/>
    </row>
    <row r="766">
      <c r="A766" s="20"/>
      <c r="E766" s="21"/>
      <c r="F766" s="21"/>
      <c r="G766" s="21"/>
    </row>
    <row r="767">
      <c r="A767" s="20"/>
      <c r="E767" s="21"/>
      <c r="F767" s="21"/>
      <c r="G767" s="21"/>
    </row>
    <row r="768">
      <c r="A768" s="20"/>
      <c r="E768" s="21"/>
      <c r="F768" s="21"/>
      <c r="G768" s="21"/>
    </row>
    <row r="769">
      <c r="A769" s="20"/>
      <c r="E769" s="21"/>
      <c r="F769" s="21"/>
      <c r="G769" s="21"/>
    </row>
    <row r="770">
      <c r="A770" s="20"/>
      <c r="E770" s="21"/>
      <c r="F770" s="21"/>
      <c r="G770" s="21"/>
    </row>
    <row r="771">
      <c r="A771" s="20"/>
      <c r="E771" s="21"/>
      <c r="F771" s="21"/>
      <c r="G771" s="21"/>
    </row>
    <row r="772">
      <c r="A772" s="20"/>
      <c r="E772" s="21"/>
      <c r="F772" s="21"/>
      <c r="G772" s="21"/>
    </row>
    <row r="773">
      <c r="A773" s="20"/>
      <c r="E773" s="21"/>
      <c r="F773" s="21"/>
      <c r="G773" s="21"/>
    </row>
    <row r="774">
      <c r="A774" s="20"/>
      <c r="E774" s="21"/>
      <c r="F774" s="21"/>
      <c r="G774" s="21"/>
    </row>
    <row r="775">
      <c r="A775" s="20"/>
      <c r="E775" s="21"/>
      <c r="F775" s="21"/>
      <c r="G775" s="21"/>
    </row>
    <row r="776">
      <c r="A776" s="20"/>
      <c r="E776" s="21"/>
      <c r="F776" s="21"/>
      <c r="G776" s="21"/>
    </row>
    <row r="777">
      <c r="A777" s="20"/>
      <c r="E777" s="21"/>
      <c r="F777" s="21"/>
      <c r="G777" s="21"/>
    </row>
    <row r="778">
      <c r="A778" s="20"/>
      <c r="E778" s="21"/>
      <c r="F778" s="21"/>
      <c r="G778" s="21"/>
    </row>
    <row r="779">
      <c r="A779" s="20"/>
      <c r="E779" s="21"/>
      <c r="F779" s="21"/>
      <c r="G779" s="21"/>
    </row>
    <row r="780">
      <c r="A780" s="20"/>
      <c r="E780" s="21"/>
      <c r="F780" s="21"/>
      <c r="G780" s="21"/>
    </row>
    <row r="781">
      <c r="A781" s="20"/>
      <c r="E781" s="21"/>
      <c r="F781" s="21"/>
      <c r="G781" s="21"/>
    </row>
    <row r="782">
      <c r="A782" s="20"/>
      <c r="E782" s="21"/>
      <c r="F782" s="21"/>
      <c r="G782" s="21"/>
    </row>
    <row r="783">
      <c r="A783" s="20"/>
      <c r="E783" s="21"/>
      <c r="F783" s="21"/>
      <c r="G783" s="21"/>
    </row>
    <row r="784">
      <c r="A784" s="20"/>
      <c r="E784" s="21"/>
      <c r="F784" s="21"/>
      <c r="G784" s="21"/>
    </row>
    <row r="785">
      <c r="A785" s="20"/>
      <c r="E785" s="21"/>
      <c r="F785" s="21"/>
      <c r="G785" s="21"/>
    </row>
    <row r="786">
      <c r="A786" s="20"/>
      <c r="E786" s="21"/>
      <c r="F786" s="21"/>
      <c r="G786" s="21"/>
    </row>
    <row r="787">
      <c r="A787" s="20"/>
      <c r="E787" s="21"/>
      <c r="F787" s="21"/>
      <c r="G787" s="21"/>
    </row>
    <row r="788">
      <c r="A788" s="20"/>
      <c r="E788" s="21"/>
      <c r="F788" s="21"/>
      <c r="G788" s="21"/>
    </row>
    <row r="789">
      <c r="A789" s="20"/>
      <c r="E789" s="21"/>
      <c r="F789" s="21"/>
      <c r="G789" s="21"/>
    </row>
    <row r="790">
      <c r="A790" s="20"/>
      <c r="E790" s="21"/>
      <c r="F790" s="21"/>
      <c r="G790" s="21"/>
    </row>
    <row r="791">
      <c r="A791" s="20"/>
      <c r="E791" s="21"/>
      <c r="F791" s="21"/>
      <c r="G791" s="21"/>
    </row>
    <row r="792">
      <c r="A792" s="20"/>
      <c r="E792" s="21"/>
      <c r="F792" s="21"/>
      <c r="G792" s="21"/>
    </row>
    <row r="793">
      <c r="A793" s="20"/>
      <c r="E793" s="21"/>
      <c r="F793" s="21"/>
      <c r="G793" s="21"/>
    </row>
    <row r="794">
      <c r="A794" s="20"/>
      <c r="E794" s="21"/>
      <c r="F794" s="21"/>
      <c r="G794" s="21"/>
    </row>
    <row r="795">
      <c r="A795" s="20"/>
      <c r="E795" s="21"/>
      <c r="F795" s="21"/>
      <c r="G795" s="21"/>
    </row>
    <row r="796">
      <c r="A796" s="20"/>
      <c r="E796" s="21"/>
      <c r="F796" s="21"/>
      <c r="G796" s="21"/>
    </row>
    <row r="797">
      <c r="A797" s="20"/>
      <c r="E797" s="21"/>
      <c r="F797" s="21"/>
      <c r="G797" s="21"/>
    </row>
    <row r="798">
      <c r="A798" s="20"/>
      <c r="E798" s="21"/>
      <c r="F798" s="21"/>
      <c r="G798" s="21"/>
    </row>
    <row r="799">
      <c r="A799" s="20"/>
      <c r="E799" s="21"/>
      <c r="F799" s="21"/>
      <c r="G799" s="21"/>
    </row>
    <row r="800">
      <c r="A800" s="20"/>
      <c r="E800" s="21"/>
      <c r="F800" s="21"/>
      <c r="G800" s="21"/>
    </row>
    <row r="801">
      <c r="A801" s="20"/>
      <c r="E801" s="21"/>
      <c r="F801" s="21"/>
      <c r="G801" s="21"/>
    </row>
    <row r="802">
      <c r="A802" s="20"/>
      <c r="E802" s="21"/>
      <c r="F802" s="21"/>
      <c r="G802" s="21"/>
    </row>
    <row r="803">
      <c r="A803" s="20"/>
      <c r="E803" s="21"/>
      <c r="F803" s="21"/>
      <c r="G803" s="21"/>
    </row>
    <row r="804">
      <c r="A804" s="20"/>
      <c r="E804" s="21"/>
      <c r="F804" s="21"/>
      <c r="G804" s="21"/>
    </row>
    <row r="805">
      <c r="A805" s="20"/>
      <c r="E805" s="21"/>
      <c r="F805" s="21"/>
      <c r="G805" s="21"/>
    </row>
    <row r="806">
      <c r="A806" s="20"/>
      <c r="E806" s="21"/>
      <c r="F806" s="21"/>
      <c r="G806" s="21"/>
    </row>
    <row r="807">
      <c r="A807" s="20"/>
      <c r="E807" s="21"/>
      <c r="F807" s="21"/>
      <c r="G807" s="21"/>
    </row>
    <row r="808">
      <c r="A808" s="20"/>
      <c r="E808" s="21"/>
      <c r="F808" s="21"/>
      <c r="G808" s="21"/>
    </row>
    <row r="809">
      <c r="A809" s="20"/>
      <c r="E809" s="21"/>
      <c r="F809" s="21"/>
      <c r="G809" s="21"/>
    </row>
    <row r="810">
      <c r="A810" s="20"/>
      <c r="E810" s="21"/>
      <c r="F810" s="21"/>
      <c r="G810" s="21"/>
    </row>
    <row r="811">
      <c r="A811" s="20"/>
      <c r="E811" s="21"/>
      <c r="F811" s="21"/>
      <c r="G811" s="21"/>
    </row>
    <row r="812">
      <c r="A812" s="20"/>
      <c r="E812" s="21"/>
      <c r="F812" s="21"/>
      <c r="G812" s="21"/>
    </row>
    <row r="813">
      <c r="A813" s="20"/>
      <c r="E813" s="21"/>
      <c r="F813" s="21"/>
      <c r="G813" s="21"/>
    </row>
    <row r="814">
      <c r="A814" s="20"/>
      <c r="E814" s="21"/>
      <c r="F814" s="21"/>
      <c r="G814" s="21"/>
    </row>
    <row r="815">
      <c r="A815" s="20"/>
      <c r="E815" s="21"/>
      <c r="F815" s="21"/>
      <c r="G815" s="21"/>
    </row>
    <row r="816">
      <c r="A816" s="20"/>
      <c r="E816" s="21"/>
      <c r="F816" s="21"/>
      <c r="G816" s="21"/>
    </row>
    <row r="817">
      <c r="A817" s="20"/>
      <c r="E817" s="21"/>
      <c r="F817" s="21"/>
      <c r="G817" s="21"/>
    </row>
    <row r="818">
      <c r="A818" s="20"/>
      <c r="E818" s="21"/>
      <c r="F818" s="21"/>
      <c r="G818" s="21"/>
    </row>
    <row r="819">
      <c r="A819" s="20"/>
      <c r="E819" s="21"/>
      <c r="F819" s="21"/>
      <c r="G819" s="21"/>
    </row>
    <row r="820">
      <c r="A820" s="20"/>
      <c r="E820" s="21"/>
      <c r="F820" s="21"/>
      <c r="G820" s="21"/>
    </row>
    <row r="821">
      <c r="A821" s="20"/>
      <c r="E821" s="21"/>
      <c r="F821" s="21"/>
      <c r="G821" s="21"/>
    </row>
    <row r="822">
      <c r="A822" s="20"/>
      <c r="E822" s="21"/>
      <c r="F822" s="21"/>
      <c r="G822" s="21"/>
    </row>
    <row r="823">
      <c r="A823" s="20"/>
      <c r="E823" s="21"/>
      <c r="F823" s="21"/>
      <c r="G823" s="21"/>
    </row>
    <row r="824">
      <c r="A824" s="20"/>
      <c r="E824" s="21"/>
      <c r="F824" s="21"/>
      <c r="G824" s="21"/>
    </row>
    <row r="825">
      <c r="A825" s="20"/>
      <c r="E825" s="21"/>
      <c r="F825" s="21"/>
      <c r="G825" s="21"/>
    </row>
    <row r="826">
      <c r="A826" s="20"/>
      <c r="E826" s="21"/>
      <c r="F826" s="21"/>
      <c r="G826" s="21"/>
    </row>
    <row r="827">
      <c r="A827" s="20"/>
      <c r="E827" s="21"/>
      <c r="F827" s="21"/>
      <c r="G827" s="21"/>
    </row>
    <row r="828">
      <c r="A828" s="20"/>
      <c r="E828" s="21"/>
      <c r="F828" s="21"/>
      <c r="G828" s="21"/>
    </row>
    <row r="829">
      <c r="A829" s="20"/>
      <c r="E829" s="21"/>
      <c r="F829" s="21"/>
      <c r="G829" s="21"/>
    </row>
    <row r="830">
      <c r="A830" s="20"/>
      <c r="E830" s="21"/>
      <c r="F830" s="21"/>
      <c r="G830" s="21"/>
    </row>
    <row r="831">
      <c r="A831" s="20"/>
      <c r="E831" s="21"/>
      <c r="F831" s="21"/>
      <c r="G831" s="21"/>
    </row>
    <row r="832">
      <c r="A832" s="20"/>
      <c r="E832" s="21"/>
      <c r="F832" s="21"/>
      <c r="G832" s="21"/>
    </row>
    <row r="833">
      <c r="A833" s="20"/>
      <c r="E833" s="21"/>
      <c r="F833" s="21"/>
      <c r="G833" s="21"/>
    </row>
    <row r="834">
      <c r="A834" s="20"/>
      <c r="E834" s="21"/>
      <c r="F834" s="21"/>
      <c r="G834" s="21"/>
    </row>
    <row r="835">
      <c r="A835" s="20"/>
      <c r="E835" s="21"/>
      <c r="F835" s="21"/>
      <c r="G835" s="21"/>
    </row>
    <row r="836">
      <c r="A836" s="20"/>
      <c r="E836" s="21"/>
      <c r="F836" s="21"/>
      <c r="G836" s="21"/>
    </row>
    <row r="837">
      <c r="A837" s="20"/>
      <c r="E837" s="21"/>
      <c r="F837" s="21"/>
      <c r="G837" s="21"/>
    </row>
    <row r="838">
      <c r="A838" s="20"/>
      <c r="E838" s="21"/>
      <c r="F838" s="21"/>
      <c r="G838" s="21"/>
    </row>
    <row r="839">
      <c r="A839" s="20"/>
      <c r="E839" s="21"/>
      <c r="F839" s="21"/>
      <c r="G839" s="21"/>
    </row>
    <row r="840">
      <c r="A840" s="20"/>
      <c r="E840" s="21"/>
      <c r="F840" s="21"/>
      <c r="G840" s="21"/>
    </row>
    <row r="841">
      <c r="A841" s="20"/>
      <c r="E841" s="21"/>
      <c r="F841" s="21"/>
      <c r="G841" s="21"/>
    </row>
    <row r="842">
      <c r="A842" s="20"/>
      <c r="E842" s="21"/>
      <c r="F842" s="21"/>
      <c r="G842" s="21"/>
    </row>
    <row r="843">
      <c r="A843" s="20"/>
      <c r="E843" s="21"/>
      <c r="F843" s="21"/>
      <c r="G843" s="21"/>
    </row>
    <row r="844">
      <c r="A844" s="20"/>
      <c r="E844" s="21"/>
      <c r="F844" s="21"/>
      <c r="G844" s="21"/>
    </row>
    <row r="845">
      <c r="A845" s="20"/>
      <c r="E845" s="21"/>
      <c r="F845" s="21"/>
      <c r="G845" s="21"/>
    </row>
    <row r="846">
      <c r="A846" s="20"/>
      <c r="E846" s="21"/>
      <c r="F846" s="21"/>
      <c r="G846" s="21"/>
    </row>
    <row r="847">
      <c r="A847" s="20"/>
      <c r="E847" s="21"/>
      <c r="F847" s="21"/>
      <c r="G847" s="21"/>
    </row>
    <row r="848">
      <c r="A848" s="20"/>
      <c r="E848" s="21"/>
      <c r="F848" s="21"/>
      <c r="G848" s="21"/>
    </row>
    <row r="849">
      <c r="A849" s="20"/>
      <c r="E849" s="21"/>
      <c r="F849" s="21"/>
      <c r="G849" s="21"/>
    </row>
    <row r="850">
      <c r="A850" s="20"/>
      <c r="E850" s="21"/>
      <c r="F850" s="21"/>
      <c r="G850" s="21"/>
    </row>
    <row r="851">
      <c r="A851" s="20"/>
      <c r="E851" s="21"/>
      <c r="F851" s="21"/>
      <c r="G851" s="21"/>
    </row>
    <row r="852">
      <c r="A852" s="20"/>
      <c r="E852" s="21"/>
      <c r="F852" s="21"/>
      <c r="G852" s="21"/>
    </row>
    <row r="853">
      <c r="A853" s="20"/>
      <c r="E853" s="21"/>
      <c r="F853" s="21"/>
      <c r="G853" s="21"/>
    </row>
    <row r="854">
      <c r="A854" s="20"/>
      <c r="E854" s="21"/>
      <c r="F854" s="21"/>
      <c r="G854" s="21"/>
    </row>
    <row r="855">
      <c r="A855" s="20"/>
      <c r="E855" s="21"/>
      <c r="F855" s="21"/>
      <c r="G855" s="21"/>
    </row>
    <row r="856">
      <c r="A856" s="20"/>
      <c r="E856" s="21"/>
      <c r="F856" s="21"/>
      <c r="G856" s="21"/>
    </row>
    <row r="857">
      <c r="A857" s="20"/>
      <c r="E857" s="21"/>
      <c r="F857" s="21"/>
      <c r="G857" s="21"/>
    </row>
    <row r="858">
      <c r="A858" s="20"/>
      <c r="E858" s="21"/>
      <c r="F858" s="21"/>
      <c r="G858" s="21"/>
    </row>
    <row r="859">
      <c r="A859" s="20"/>
      <c r="E859" s="21"/>
      <c r="F859" s="21"/>
      <c r="G859" s="21"/>
    </row>
    <row r="860">
      <c r="A860" s="20"/>
      <c r="E860" s="21"/>
      <c r="F860" s="21"/>
      <c r="G860" s="21"/>
    </row>
    <row r="861">
      <c r="A861" s="20"/>
      <c r="E861" s="21"/>
      <c r="F861" s="21"/>
      <c r="G861" s="21"/>
    </row>
    <row r="862">
      <c r="A862" s="20"/>
      <c r="E862" s="21"/>
      <c r="F862" s="21"/>
      <c r="G862" s="21"/>
    </row>
    <row r="863">
      <c r="A863" s="20"/>
      <c r="E863" s="21"/>
      <c r="F863" s="21"/>
      <c r="G863" s="21"/>
    </row>
    <row r="864">
      <c r="A864" s="20"/>
      <c r="E864" s="21"/>
      <c r="F864" s="21"/>
      <c r="G864" s="21"/>
    </row>
    <row r="865">
      <c r="A865" s="20"/>
      <c r="E865" s="21"/>
      <c r="F865" s="21"/>
      <c r="G865" s="21"/>
    </row>
    <row r="866">
      <c r="A866" s="20"/>
      <c r="E866" s="21"/>
      <c r="F866" s="21"/>
      <c r="G866" s="21"/>
    </row>
    <row r="867">
      <c r="A867" s="20"/>
      <c r="E867" s="21"/>
      <c r="F867" s="21"/>
      <c r="G867" s="21"/>
    </row>
    <row r="868">
      <c r="A868" s="20"/>
      <c r="E868" s="21"/>
      <c r="F868" s="21"/>
      <c r="G868" s="21"/>
    </row>
    <row r="869">
      <c r="A869" s="20"/>
      <c r="E869" s="21"/>
      <c r="F869" s="21"/>
      <c r="G869" s="21"/>
    </row>
    <row r="870">
      <c r="A870" s="20"/>
      <c r="E870" s="21"/>
      <c r="F870" s="21"/>
      <c r="G870" s="21"/>
    </row>
    <row r="871">
      <c r="A871" s="20"/>
      <c r="E871" s="21"/>
      <c r="F871" s="21"/>
      <c r="G871" s="21"/>
    </row>
    <row r="872">
      <c r="A872" s="20"/>
      <c r="E872" s="21"/>
      <c r="F872" s="21"/>
      <c r="G872" s="21"/>
    </row>
    <row r="873">
      <c r="A873" s="20"/>
      <c r="E873" s="21"/>
      <c r="F873" s="21"/>
      <c r="G873" s="21"/>
    </row>
    <row r="874">
      <c r="A874" s="20"/>
      <c r="E874" s="21"/>
      <c r="F874" s="21"/>
      <c r="G874" s="21"/>
    </row>
    <row r="875">
      <c r="A875" s="20"/>
      <c r="E875" s="21"/>
      <c r="F875" s="21"/>
      <c r="G875" s="21"/>
    </row>
    <row r="876">
      <c r="A876" s="20"/>
      <c r="E876" s="21"/>
      <c r="F876" s="21"/>
      <c r="G876" s="21"/>
    </row>
    <row r="877">
      <c r="A877" s="20"/>
      <c r="E877" s="21"/>
      <c r="F877" s="21"/>
      <c r="G877" s="21"/>
    </row>
    <row r="878">
      <c r="A878" s="20"/>
      <c r="E878" s="21"/>
      <c r="F878" s="21"/>
      <c r="G878" s="21"/>
    </row>
    <row r="879">
      <c r="A879" s="20"/>
      <c r="E879" s="21"/>
      <c r="F879" s="21"/>
      <c r="G879" s="21"/>
    </row>
    <row r="880">
      <c r="A880" s="20"/>
      <c r="E880" s="21"/>
      <c r="F880" s="21"/>
      <c r="G880" s="21"/>
    </row>
    <row r="881">
      <c r="A881" s="20"/>
      <c r="E881" s="21"/>
      <c r="F881" s="21"/>
      <c r="G881" s="21"/>
    </row>
    <row r="882">
      <c r="A882" s="20"/>
      <c r="E882" s="21"/>
      <c r="F882" s="21"/>
      <c r="G882" s="21"/>
    </row>
    <row r="883">
      <c r="A883" s="20"/>
      <c r="E883" s="21"/>
      <c r="F883" s="21"/>
      <c r="G883" s="21"/>
    </row>
    <row r="884">
      <c r="A884" s="20"/>
      <c r="E884" s="21"/>
      <c r="F884" s="21"/>
      <c r="G884" s="21"/>
    </row>
    <row r="885">
      <c r="A885" s="20"/>
      <c r="E885" s="21"/>
      <c r="F885" s="21"/>
      <c r="G885" s="21"/>
    </row>
    <row r="886">
      <c r="A886" s="20"/>
      <c r="E886" s="21"/>
      <c r="F886" s="21"/>
      <c r="G886" s="21"/>
    </row>
    <row r="887">
      <c r="A887" s="20"/>
      <c r="E887" s="21"/>
      <c r="F887" s="21"/>
      <c r="G887" s="21"/>
    </row>
    <row r="888">
      <c r="A888" s="20"/>
      <c r="E888" s="21"/>
      <c r="F888" s="21"/>
      <c r="G888" s="21"/>
    </row>
    <row r="889">
      <c r="A889" s="20"/>
      <c r="E889" s="21"/>
      <c r="F889" s="21"/>
      <c r="G889" s="21"/>
    </row>
    <row r="890">
      <c r="A890" s="20"/>
      <c r="E890" s="21"/>
      <c r="F890" s="21"/>
      <c r="G890" s="21"/>
    </row>
    <row r="891">
      <c r="A891" s="20"/>
      <c r="E891" s="21"/>
      <c r="F891" s="21"/>
      <c r="G891" s="21"/>
    </row>
    <row r="892">
      <c r="A892" s="20"/>
      <c r="E892" s="21"/>
      <c r="F892" s="21"/>
      <c r="G892" s="21"/>
    </row>
    <row r="893">
      <c r="A893" s="20"/>
      <c r="E893" s="21"/>
      <c r="F893" s="21"/>
      <c r="G893" s="21"/>
    </row>
    <row r="894">
      <c r="A894" s="20"/>
      <c r="E894" s="21"/>
      <c r="F894" s="21"/>
      <c r="G894" s="21"/>
    </row>
    <row r="895">
      <c r="A895" s="20"/>
      <c r="E895" s="21"/>
      <c r="F895" s="21"/>
      <c r="G895" s="21"/>
    </row>
    <row r="896">
      <c r="A896" s="20"/>
      <c r="E896" s="21"/>
      <c r="F896" s="21"/>
      <c r="G896" s="21"/>
    </row>
    <row r="897">
      <c r="A897" s="20"/>
      <c r="E897" s="21"/>
      <c r="F897" s="21"/>
      <c r="G897" s="21"/>
    </row>
    <row r="898">
      <c r="A898" s="20"/>
      <c r="E898" s="21"/>
      <c r="F898" s="21"/>
      <c r="G898" s="21"/>
    </row>
    <row r="899">
      <c r="A899" s="20"/>
      <c r="E899" s="21"/>
      <c r="F899" s="21"/>
      <c r="G899" s="21"/>
    </row>
    <row r="900">
      <c r="A900" s="20"/>
      <c r="E900" s="21"/>
      <c r="F900" s="21"/>
      <c r="G900" s="21"/>
    </row>
    <row r="901">
      <c r="A901" s="20"/>
      <c r="E901" s="21"/>
      <c r="F901" s="21"/>
      <c r="G901" s="21"/>
    </row>
    <row r="902">
      <c r="A902" s="20"/>
      <c r="E902" s="21"/>
      <c r="F902" s="21"/>
      <c r="G902" s="21"/>
    </row>
    <row r="903">
      <c r="A903" s="20"/>
      <c r="E903" s="21"/>
      <c r="F903" s="21"/>
      <c r="G903" s="21"/>
    </row>
    <row r="904">
      <c r="A904" s="20"/>
      <c r="E904" s="21"/>
      <c r="F904" s="21"/>
      <c r="G904" s="21"/>
    </row>
    <row r="905">
      <c r="A905" s="20"/>
      <c r="E905" s="21"/>
      <c r="F905" s="21"/>
      <c r="G905" s="21"/>
    </row>
    <row r="906">
      <c r="A906" s="20"/>
      <c r="E906" s="21"/>
      <c r="F906" s="21"/>
      <c r="G906" s="21"/>
    </row>
    <row r="907">
      <c r="A907" s="20"/>
      <c r="E907" s="21"/>
      <c r="F907" s="21"/>
      <c r="G907" s="21"/>
    </row>
    <row r="908">
      <c r="A908" s="20"/>
      <c r="E908" s="21"/>
      <c r="F908" s="21"/>
      <c r="G908" s="21"/>
    </row>
    <row r="909">
      <c r="A909" s="20"/>
      <c r="E909" s="21"/>
      <c r="F909" s="21"/>
      <c r="G909" s="21"/>
    </row>
    <row r="910">
      <c r="A910" s="20"/>
      <c r="E910" s="21"/>
      <c r="F910" s="21"/>
      <c r="G910" s="21"/>
    </row>
    <row r="911">
      <c r="A911" s="20"/>
      <c r="E911" s="21"/>
      <c r="F911" s="21"/>
      <c r="G911" s="21"/>
    </row>
    <row r="912">
      <c r="A912" s="20"/>
      <c r="E912" s="21"/>
      <c r="F912" s="21"/>
      <c r="G912" s="21"/>
    </row>
    <row r="913">
      <c r="A913" s="20"/>
      <c r="E913" s="21"/>
      <c r="F913" s="21"/>
      <c r="G913" s="21"/>
    </row>
    <row r="914">
      <c r="A914" s="20"/>
      <c r="E914" s="21"/>
      <c r="F914" s="21"/>
      <c r="G914" s="21"/>
    </row>
    <row r="915">
      <c r="A915" s="20"/>
      <c r="E915" s="21"/>
      <c r="F915" s="21"/>
      <c r="G915" s="21"/>
    </row>
    <row r="916">
      <c r="A916" s="20"/>
      <c r="E916" s="21"/>
      <c r="F916" s="21"/>
      <c r="G916" s="21"/>
    </row>
    <row r="917">
      <c r="A917" s="20"/>
      <c r="E917" s="21"/>
      <c r="F917" s="21"/>
      <c r="G917" s="21"/>
    </row>
    <row r="918">
      <c r="A918" s="20"/>
      <c r="E918" s="21"/>
      <c r="F918" s="21"/>
      <c r="G918" s="21"/>
    </row>
    <row r="919">
      <c r="A919" s="20"/>
      <c r="E919" s="21"/>
      <c r="F919" s="21"/>
      <c r="G919" s="21"/>
    </row>
    <row r="920">
      <c r="A920" s="20"/>
      <c r="E920" s="21"/>
      <c r="F920" s="21"/>
      <c r="G920" s="21"/>
    </row>
    <row r="921">
      <c r="A921" s="20"/>
      <c r="E921" s="21"/>
      <c r="F921" s="21"/>
      <c r="G921" s="21"/>
    </row>
    <row r="922">
      <c r="A922" s="20"/>
      <c r="E922" s="21"/>
      <c r="F922" s="21"/>
      <c r="G922" s="21"/>
    </row>
    <row r="923">
      <c r="A923" s="20"/>
      <c r="E923" s="21"/>
      <c r="F923" s="21"/>
      <c r="G923" s="21"/>
    </row>
    <row r="924">
      <c r="A924" s="20"/>
      <c r="E924" s="21"/>
      <c r="F924" s="21"/>
      <c r="G924" s="21"/>
    </row>
    <row r="925">
      <c r="A925" s="20"/>
      <c r="E925" s="21"/>
      <c r="F925" s="21"/>
      <c r="G925" s="21"/>
    </row>
    <row r="926">
      <c r="A926" s="20"/>
      <c r="E926" s="21"/>
      <c r="F926" s="21"/>
      <c r="G926" s="21"/>
    </row>
    <row r="927">
      <c r="A927" s="20"/>
      <c r="E927" s="21"/>
      <c r="F927" s="21"/>
      <c r="G927" s="21"/>
    </row>
    <row r="928">
      <c r="A928" s="20"/>
      <c r="E928" s="21"/>
      <c r="F928" s="21"/>
      <c r="G928" s="21"/>
    </row>
    <row r="929">
      <c r="A929" s="20"/>
      <c r="E929" s="21"/>
      <c r="F929" s="21"/>
      <c r="G929" s="21"/>
    </row>
    <row r="930">
      <c r="A930" s="20"/>
      <c r="E930" s="21"/>
      <c r="F930" s="21"/>
      <c r="G930" s="21"/>
    </row>
    <row r="931">
      <c r="A931" s="20"/>
      <c r="E931" s="21"/>
      <c r="F931" s="21"/>
      <c r="G931" s="21"/>
    </row>
    <row r="932">
      <c r="A932" s="20"/>
      <c r="E932" s="21"/>
      <c r="F932" s="21"/>
      <c r="G932" s="21"/>
    </row>
    <row r="933">
      <c r="A933" s="20"/>
      <c r="E933" s="21"/>
      <c r="F933" s="21"/>
      <c r="G933" s="21"/>
    </row>
    <row r="934">
      <c r="A934" s="20"/>
      <c r="E934" s="21"/>
      <c r="F934" s="21"/>
      <c r="G934" s="21"/>
    </row>
    <row r="935">
      <c r="A935" s="20"/>
      <c r="E935" s="21"/>
      <c r="F935" s="21"/>
      <c r="G935" s="21"/>
    </row>
    <row r="936">
      <c r="A936" s="20"/>
      <c r="E936" s="21"/>
      <c r="F936" s="21"/>
      <c r="G936" s="21"/>
    </row>
    <row r="937">
      <c r="A937" s="20"/>
      <c r="E937" s="21"/>
      <c r="F937" s="21"/>
      <c r="G937" s="21"/>
    </row>
    <row r="938">
      <c r="A938" s="20"/>
      <c r="E938" s="21"/>
      <c r="F938" s="21"/>
      <c r="G938" s="21"/>
    </row>
    <row r="939">
      <c r="A939" s="20"/>
      <c r="E939" s="21"/>
      <c r="F939" s="21"/>
      <c r="G939" s="21"/>
    </row>
    <row r="940">
      <c r="A940" s="20"/>
      <c r="E940" s="21"/>
      <c r="F940" s="21"/>
      <c r="G940" s="21"/>
    </row>
    <row r="941">
      <c r="A941" s="20"/>
      <c r="E941" s="21"/>
      <c r="F941" s="21"/>
      <c r="G941" s="21"/>
    </row>
    <row r="942">
      <c r="A942" s="20"/>
      <c r="E942" s="21"/>
      <c r="F942" s="21"/>
      <c r="G942" s="21"/>
    </row>
    <row r="943">
      <c r="A943" s="20"/>
      <c r="E943" s="21"/>
      <c r="F943" s="21"/>
      <c r="G943" s="21"/>
    </row>
    <row r="944">
      <c r="A944" s="20"/>
      <c r="E944" s="21"/>
      <c r="F944" s="21"/>
      <c r="G944" s="21"/>
    </row>
    <row r="945">
      <c r="A945" s="20"/>
      <c r="E945" s="21"/>
      <c r="F945" s="21"/>
      <c r="G945" s="21"/>
    </row>
    <row r="946">
      <c r="A946" s="20"/>
      <c r="E946" s="21"/>
      <c r="F946" s="21"/>
      <c r="G946" s="21"/>
    </row>
    <row r="947">
      <c r="A947" s="20"/>
      <c r="E947" s="21"/>
      <c r="F947" s="21"/>
      <c r="G947" s="21"/>
    </row>
    <row r="948">
      <c r="A948" s="20"/>
      <c r="E948" s="21"/>
      <c r="F948" s="21"/>
      <c r="G948" s="21"/>
    </row>
    <row r="949">
      <c r="A949" s="20"/>
      <c r="E949" s="21"/>
      <c r="F949" s="21"/>
      <c r="G949" s="21"/>
    </row>
    <row r="950">
      <c r="A950" s="20"/>
      <c r="E950" s="21"/>
      <c r="F950" s="21"/>
      <c r="G950" s="21"/>
    </row>
    <row r="951">
      <c r="A951" s="20"/>
      <c r="E951" s="21"/>
      <c r="F951" s="21"/>
      <c r="G951" s="21"/>
    </row>
    <row r="952">
      <c r="A952" s="20"/>
      <c r="E952" s="21"/>
      <c r="F952" s="21"/>
      <c r="G952" s="21"/>
    </row>
    <row r="953">
      <c r="A953" s="20"/>
      <c r="E953" s="21"/>
      <c r="F953" s="21"/>
      <c r="G953" s="21"/>
    </row>
    <row r="954">
      <c r="A954" s="20"/>
      <c r="E954" s="21"/>
      <c r="F954" s="21"/>
      <c r="G954" s="21"/>
    </row>
    <row r="955">
      <c r="A955" s="20"/>
      <c r="E955" s="21"/>
      <c r="F955" s="21"/>
      <c r="G955" s="21"/>
    </row>
    <row r="956">
      <c r="A956" s="20"/>
      <c r="E956" s="21"/>
      <c r="F956" s="21"/>
      <c r="G956" s="21"/>
    </row>
    <row r="957">
      <c r="A957" s="20"/>
      <c r="E957" s="21"/>
      <c r="F957" s="21"/>
      <c r="G957" s="21"/>
    </row>
    <row r="958">
      <c r="A958" s="20"/>
      <c r="E958" s="21"/>
      <c r="F958" s="21"/>
      <c r="G958" s="21"/>
    </row>
    <row r="959">
      <c r="A959" s="20"/>
      <c r="E959" s="21"/>
      <c r="F959" s="21"/>
      <c r="G959" s="21"/>
    </row>
    <row r="960">
      <c r="A960" s="20"/>
      <c r="E960" s="21"/>
      <c r="F960" s="21"/>
      <c r="G960" s="21"/>
    </row>
    <row r="961">
      <c r="A961" s="20"/>
      <c r="E961" s="21"/>
      <c r="F961" s="21"/>
      <c r="G961" s="21"/>
    </row>
    <row r="962">
      <c r="A962" s="20"/>
      <c r="E962" s="21"/>
      <c r="F962" s="21"/>
      <c r="G962" s="21"/>
    </row>
    <row r="963">
      <c r="A963" s="20"/>
      <c r="E963" s="21"/>
      <c r="F963" s="21"/>
      <c r="G963" s="21"/>
    </row>
    <row r="964">
      <c r="A964" s="20"/>
      <c r="E964" s="21"/>
      <c r="F964" s="21"/>
      <c r="G964" s="21"/>
    </row>
    <row r="965">
      <c r="A965" s="20"/>
      <c r="E965" s="21"/>
      <c r="F965" s="21"/>
      <c r="G965" s="21"/>
    </row>
    <row r="966">
      <c r="A966" s="20"/>
      <c r="E966" s="21"/>
      <c r="F966" s="21"/>
      <c r="G966" s="21"/>
    </row>
    <row r="967">
      <c r="A967" s="20"/>
      <c r="E967" s="21"/>
      <c r="F967" s="21"/>
      <c r="G967" s="21"/>
    </row>
    <row r="968">
      <c r="A968" s="20"/>
      <c r="E968" s="21"/>
      <c r="F968" s="21"/>
      <c r="G968" s="21"/>
    </row>
    <row r="969">
      <c r="A969" s="20"/>
      <c r="E969" s="21"/>
      <c r="F969" s="21"/>
      <c r="G969" s="21"/>
    </row>
    <row r="970">
      <c r="A970" s="20"/>
      <c r="E970" s="21"/>
      <c r="F970" s="21"/>
      <c r="G970" s="21"/>
    </row>
    <row r="971">
      <c r="A971" s="20"/>
      <c r="E971" s="21"/>
      <c r="F971" s="21"/>
      <c r="G971" s="21"/>
    </row>
    <row r="972">
      <c r="A972" s="20"/>
      <c r="E972" s="21"/>
      <c r="F972" s="21"/>
      <c r="G972" s="21"/>
    </row>
    <row r="973">
      <c r="A973" s="20"/>
      <c r="E973" s="21"/>
      <c r="F973" s="21"/>
      <c r="G973" s="21"/>
    </row>
    <row r="974">
      <c r="A974" s="20"/>
      <c r="E974" s="21"/>
      <c r="F974" s="21"/>
      <c r="G974" s="21"/>
    </row>
    <row r="975">
      <c r="A975" s="20"/>
      <c r="E975" s="21"/>
      <c r="F975" s="21"/>
      <c r="G975" s="21"/>
    </row>
    <row r="976">
      <c r="A976" s="20"/>
      <c r="E976" s="21"/>
      <c r="F976" s="21"/>
      <c r="G976" s="21"/>
    </row>
    <row r="977">
      <c r="A977" s="20"/>
      <c r="E977" s="21"/>
      <c r="F977" s="21"/>
      <c r="G977" s="21"/>
    </row>
    <row r="978">
      <c r="A978" s="20"/>
      <c r="E978" s="21"/>
      <c r="F978" s="21"/>
      <c r="G978" s="21"/>
    </row>
    <row r="979">
      <c r="A979" s="20"/>
      <c r="E979" s="21"/>
      <c r="F979" s="21"/>
      <c r="G979" s="21"/>
    </row>
    <row r="980">
      <c r="A980" s="20"/>
      <c r="E980" s="21"/>
      <c r="F980" s="21"/>
      <c r="G980" s="21"/>
    </row>
    <row r="981">
      <c r="A981" s="20"/>
      <c r="E981" s="21"/>
      <c r="F981" s="21"/>
      <c r="G981" s="21"/>
    </row>
    <row r="982">
      <c r="A982" s="20"/>
      <c r="E982" s="21"/>
      <c r="F982" s="21"/>
      <c r="G982" s="21"/>
    </row>
    <row r="983">
      <c r="A983" s="20"/>
      <c r="E983" s="21"/>
      <c r="F983" s="21"/>
      <c r="G983" s="21"/>
    </row>
    <row r="984">
      <c r="A984" s="20"/>
      <c r="E984" s="21"/>
      <c r="F984" s="21"/>
      <c r="G984" s="21"/>
    </row>
    <row r="985">
      <c r="A985" s="20"/>
      <c r="E985" s="21"/>
      <c r="F985" s="21"/>
      <c r="G985" s="21"/>
    </row>
    <row r="986">
      <c r="A986" s="20"/>
      <c r="E986" s="21"/>
      <c r="F986" s="21"/>
      <c r="G986" s="21"/>
    </row>
    <row r="987">
      <c r="A987" s="20"/>
      <c r="E987" s="21"/>
      <c r="F987" s="21"/>
      <c r="G987" s="21"/>
    </row>
    <row r="988">
      <c r="A988" s="20"/>
      <c r="E988" s="21"/>
      <c r="F988" s="21"/>
      <c r="G988" s="21"/>
    </row>
    <row r="989">
      <c r="A989" s="20"/>
      <c r="E989" s="21"/>
      <c r="F989" s="21"/>
      <c r="G989" s="21"/>
    </row>
    <row r="990">
      <c r="A990" s="20"/>
      <c r="E990" s="21"/>
      <c r="F990" s="21"/>
      <c r="G990" s="21"/>
    </row>
    <row r="991">
      <c r="A991" s="20"/>
      <c r="E991" s="21"/>
      <c r="F991" s="21"/>
      <c r="G991" s="21"/>
    </row>
    <row r="992">
      <c r="A992" s="20"/>
      <c r="E992" s="21"/>
      <c r="F992" s="21"/>
      <c r="G992" s="21"/>
    </row>
    <row r="993">
      <c r="A993" s="20"/>
      <c r="E993" s="21"/>
      <c r="F993" s="21"/>
      <c r="G993" s="21"/>
    </row>
    <row r="994">
      <c r="A994" s="20"/>
      <c r="E994" s="21"/>
      <c r="F994" s="21"/>
      <c r="G994" s="21"/>
    </row>
    <row r="995">
      <c r="A995" s="20"/>
      <c r="E995" s="21"/>
      <c r="F995" s="21"/>
      <c r="G995" s="21"/>
    </row>
    <row r="996">
      <c r="A996" s="20"/>
      <c r="E996" s="21"/>
      <c r="F996" s="21"/>
      <c r="G996" s="21"/>
    </row>
    <row r="997">
      <c r="A997" s="20"/>
      <c r="E997" s="21"/>
      <c r="F997" s="21"/>
      <c r="G997" s="21"/>
    </row>
    <row r="998">
      <c r="A998" s="20"/>
      <c r="E998" s="21"/>
      <c r="F998" s="21"/>
      <c r="G998" s="21"/>
    </row>
  </sheetData>
  <mergeCells count="7">
    <mergeCell ref="A1:G1"/>
    <mergeCell ref="A2:A3"/>
    <mergeCell ref="B2:B3"/>
    <mergeCell ref="C2:C3"/>
    <mergeCell ref="D2:D3"/>
    <mergeCell ref="E2:F2"/>
    <mergeCell ref="G2:G3"/>
  </mergeCells>
  <conditionalFormatting sqref="E2:F998">
    <cfRule type="containsText" dxfId="0" priority="1" operator="containsText" text="Đã">
      <formula>NOT(ISERROR(SEARCH(("Đã"),(E2))))</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4.57"/>
    <col customWidth="1" min="3" max="3" width="50.43"/>
  </cols>
  <sheetData>
    <row r="1" ht="39.0" customHeight="1">
      <c r="A1" s="22" t="s">
        <v>395</v>
      </c>
    </row>
    <row r="2">
      <c r="A2" s="3" t="s">
        <v>1</v>
      </c>
      <c r="B2" s="4" t="s">
        <v>3</v>
      </c>
      <c r="C2" s="3" t="s">
        <v>4</v>
      </c>
      <c r="D2" s="5"/>
      <c r="E2" s="6"/>
      <c r="F2" s="4" t="s">
        <v>6</v>
      </c>
    </row>
    <row r="3" ht="25.5" customHeight="1">
      <c r="A3" s="7"/>
      <c r="B3" s="7"/>
      <c r="C3" s="7"/>
      <c r="D3" s="4" t="s">
        <v>396</v>
      </c>
      <c r="E3" s="4" t="s">
        <v>397</v>
      </c>
      <c r="F3" s="7"/>
    </row>
    <row r="4">
      <c r="A4" s="23" t="s">
        <v>398</v>
      </c>
      <c r="B4" s="9"/>
      <c r="C4" s="24"/>
      <c r="D4" s="10"/>
      <c r="E4" s="10"/>
      <c r="F4" s="10"/>
    </row>
    <row r="5">
      <c r="A5" s="25">
        <v>1.0</v>
      </c>
      <c r="B5" s="26">
        <v>5.300378254E9</v>
      </c>
      <c r="C5" s="27" t="s">
        <v>399</v>
      </c>
      <c r="D5" s="14" t="str">
        <f>if(countifs(DATABASE!I:I,"Bảo trì",DATABASE!E:E,B5,DATABASE!A:A,"&gt;01/03/2021",DATABASE!A:A,"&lt;01/06/2021")&gt;=1,"Đã bảo trì","")</f>
        <v/>
      </c>
      <c r="E5" s="14" t="str">
        <f>if(countifs(DATABASE!I:I,"Bảo trì",DATABASE!E:E,B5,DATABASE!A:A,"&gt;01/06/2021",DATABASE!A:A,"&lt;01/09/2021")&gt;=1,"Đã bảo trì","")</f>
        <v/>
      </c>
      <c r="F5" s="14">
        <f>countifs(DATABASE!E:E,B5)</f>
        <v>1</v>
      </c>
    </row>
    <row r="6">
      <c r="A6" s="28">
        <v>2.0</v>
      </c>
      <c r="B6" s="26">
        <v>5.300378276E9</v>
      </c>
      <c r="C6" s="27" t="s">
        <v>399</v>
      </c>
      <c r="D6" s="14" t="str">
        <f>if(countifs(DATABASE!I:I,"Bảo trì",DATABASE!E:E,B6,DATABASE!A:A,"&gt;01/03/2021",DATABASE!A:A,"&lt;01/06/2021")&gt;=1,"Đã bảo trì","")</f>
        <v/>
      </c>
      <c r="E6" s="14" t="str">
        <f>if(countifs(DATABASE!I:I,"Bảo trì",DATABASE!E:E,B6,DATABASE!A:A,"&gt;01/06/2021",DATABASE!A:A,"&lt;01/09/2021")&gt;=1,"Đã bảo trì","")</f>
        <v/>
      </c>
      <c r="F6" s="14">
        <f>countifs(DATABASE!E:E,B6)</f>
        <v>2</v>
      </c>
    </row>
    <row r="7">
      <c r="A7" s="28">
        <v>3.0</v>
      </c>
      <c r="B7" s="26">
        <v>5.30038053E9</v>
      </c>
      <c r="C7" s="27" t="s">
        <v>399</v>
      </c>
      <c r="D7" s="14" t="str">
        <f>if(countifs(DATABASE!I:I,"Bảo trì",DATABASE!E:E,B7,DATABASE!A:A,"&gt;01/03/2021",DATABASE!A:A,"&lt;01/06/2021")&gt;=1,"Đã bảo trì","")</f>
        <v/>
      </c>
      <c r="E7" s="14" t="str">
        <f>if(countifs(DATABASE!I:I,"Bảo trì",DATABASE!E:E,B7,DATABASE!A:A,"&gt;01/06/2021",DATABASE!A:A,"&lt;01/09/2021")&gt;=1,"Đã bảo trì","")</f>
        <v/>
      </c>
      <c r="F7" s="14">
        <f>countifs(DATABASE!E:E,B7)</f>
        <v>2</v>
      </c>
    </row>
    <row r="8">
      <c r="A8" s="25">
        <v>4.0</v>
      </c>
      <c r="B8" s="26">
        <v>5.300378595E9</v>
      </c>
      <c r="C8" s="27" t="s">
        <v>399</v>
      </c>
      <c r="D8" s="14" t="str">
        <f>if(countifs(DATABASE!I:I,"Bảo trì",DATABASE!E:E,B8,DATABASE!A:A,"&gt;01/03/2021",DATABASE!A:A,"&lt;01/06/2021")&gt;=1,"Đã bảo trì","")</f>
        <v>Đã bảo trì</v>
      </c>
      <c r="E8" s="14" t="str">
        <f>if(countifs(DATABASE!I:I,"Bảo trì",DATABASE!E:E,B8,DATABASE!A:A,"&gt;01/06/2021",DATABASE!A:A,"&lt;01/09/2021")&gt;=1,"Đã bảo trì","")</f>
        <v/>
      </c>
      <c r="F8" s="14">
        <f>countifs(DATABASE!E:E,B8)</f>
        <v>2</v>
      </c>
    </row>
    <row r="9">
      <c r="A9" s="28">
        <v>5.0</v>
      </c>
      <c r="B9" s="26">
        <v>5.300380609E9</v>
      </c>
      <c r="C9" s="27" t="s">
        <v>399</v>
      </c>
      <c r="D9" s="14" t="str">
        <f>if(countifs(DATABASE!I:I,"Bảo trì",DATABASE!E:E,B9,DATABASE!A:A,"&gt;01/03/2021",DATABASE!A:A,"&lt;01/06/2021")&gt;=1,"Đã bảo trì","")</f>
        <v/>
      </c>
      <c r="E9" s="14" t="str">
        <f>if(countifs(DATABASE!I:I,"Bảo trì",DATABASE!E:E,B9,DATABASE!A:A,"&gt;01/06/2021",DATABASE!A:A,"&lt;01/09/2021")&gt;=1,"Đã bảo trì","")</f>
        <v/>
      </c>
      <c r="F9" s="14">
        <f>countifs(DATABASE!E:E,B9)</f>
        <v>1</v>
      </c>
    </row>
    <row r="10">
      <c r="A10" s="28">
        <v>6.0</v>
      </c>
      <c r="B10" s="26">
        <v>5.30038055E9</v>
      </c>
      <c r="C10" s="27" t="s">
        <v>400</v>
      </c>
      <c r="D10" s="14" t="str">
        <f>if(countifs(DATABASE!I:I,"Bảo trì",DATABASE!E:E,B10,DATABASE!A:A,"&gt;01/03/2021",DATABASE!A:A,"&lt;01/06/2021")&gt;=1,"Đã bảo trì","")</f>
        <v>Đã bảo trì</v>
      </c>
      <c r="E10" s="14" t="str">
        <f>if(countifs(DATABASE!I:I,"Bảo trì",DATABASE!E:E,B10,DATABASE!A:A,"&gt;01/06/2021",DATABASE!A:A,"&lt;01/09/2021")&gt;=1,"Đã bảo trì","")</f>
        <v/>
      </c>
      <c r="F10" s="14">
        <f>countifs(DATABASE!E:E,B10)</f>
        <v>4</v>
      </c>
    </row>
    <row r="11">
      <c r="A11" s="25">
        <v>7.0</v>
      </c>
      <c r="B11" s="26">
        <v>5.300378191E9</v>
      </c>
      <c r="C11" s="27" t="s">
        <v>400</v>
      </c>
      <c r="D11" s="14" t="str">
        <f>if(countifs(DATABASE!I:I,"Bảo trì",DATABASE!E:E,B11,DATABASE!A:A,"&gt;01/03/2021",DATABASE!A:A,"&lt;01/06/2021")&gt;=1,"Đã bảo trì","")</f>
        <v>Đã bảo trì</v>
      </c>
      <c r="E11" s="14" t="str">
        <f>if(countifs(DATABASE!I:I,"Bảo trì",DATABASE!E:E,B11,DATABASE!A:A,"&gt;01/06/2021",DATABASE!A:A,"&lt;01/09/2021")&gt;=1,"Đã bảo trì","")</f>
        <v/>
      </c>
      <c r="F11" s="14">
        <f>countifs(DATABASE!E:E,B11)</f>
        <v>3</v>
      </c>
    </row>
    <row r="12">
      <c r="A12" s="28">
        <v>8.0</v>
      </c>
      <c r="B12" s="26">
        <v>5.300377933E9</v>
      </c>
      <c r="C12" s="27" t="s">
        <v>401</v>
      </c>
      <c r="D12" s="14" t="str">
        <f>if(countifs(DATABASE!I:I,"Bảo trì",DATABASE!E:E,B12,DATABASE!A:A,"&gt;01/03/2021",DATABASE!A:A,"&lt;01/06/2021")&gt;=1,"Đã bảo trì","")</f>
        <v>Đã bảo trì</v>
      </c>
      <c r="E12" s="14" t="str">
        <f>if(countifs(DATABASE!I:I,"Bảo trì",DATABASE!E:E,B12,DATABASE!A:A,"&gt;01/06/2021",DATABASE!A:A,"&lt;01/09/2021")&gt;=1,"Đã bảo trì","")</f>
        <v/>
      </c>
      <c r="F12" s="14">
        <f>countifs(DATABASE!E:E,B12)</f>
        <v>4</v>
      </c>
    </row>
    <row r="13">
      <c r="A13" s="28">
        <v>9.0</v>
      </c>
      <c r="B13" s="26">
        <v>5.300380747E9</v>
      </c>
      <c r="C13" s="27" t="s">
        <v>402</v>
      </c>
      <c r="D13" s="14" t="str">
        <f>if(countifs(DATABASE!I:I,"Bảo trì",DATABASE!E:E,B13,DATABASE!A:A,"&gt;01/03/2021",DATABASE!A:A,"&lt;01/06/2021")&gt;=1,"Đã bảo trì","")</f>
        <v>Đã bảo trì</v>
      </c>
      <c r="E13" s="14" t="str">
        <f>if(countifs(DATABASE!I:I,"Bảo trì",DATABASE!E:E,B13,DATABASE!A:A,"&gt;01/06/2021",DATABASE!A:A,"&lt;01/09/2021")&gt;=1,"Đã bảo trì","")</f>
        <v/>
      </c>
      <c r="F13" s="14">
        <f>countifs(DATABASE!E:E,B13)</f>
        <v>2</v>
      </c>
    </row>
    <row r="14">
      <c r="A14" s="25">
        <v>10.0</v>
      </c>
      <c r="B14" s="26">
        <v>5.300380631E9</v>
      </c>
      <c r="C14" s="27" t="s">
        <v>403</v>
      </c>
      <c r="D14" s="14" t="str">
        <f>if(countifs(DATABASE!I:I,"Bảo trì",DATABASE!E:E,B14,DATABASE!A:A,"&gt;01/03/2021",DATABASE!A:A,"&lt;01/06/2021")&gt;=1,"Đã bảo trì","")</f>
        <v/>
      </c>
      <c r="E14" s="14" t="str">
        <f>if(countifs(DATABASE!I:I,"Bảo trì",DATABASE!E:E,B14,DATABASE!A:A,"&gt;01/06/2021",DATABASE!A:A,"&lt;01/09/2021")&gt;=1,"Đã bảo trì","")</f>
        <v/>
      </c>
      <c r="F14" s="14">
        <f>countifs(DATABASE!E:E,B14)</f>
        <v>0</v>
      </c>
    </row>
    <row r="15">
      <c r="A15" s="28">
        <v>11.0</v>
      </c>
      <c r="B15" s="26">
        <v>5.300378203E9</v>
      </c>
      <c r="C15" s="27" t="s">
        <v>404</v>
      </c>
      <c r="D15" s="14" t="str">
        <f>if(countifs(DATABASE!I:I,"Bảo trì",DATABASE!E:E,B15,DATABASE!A:A,"&gt;01/03/2021",DATABASE!A:A,"&lt;01/06/2021")&gt;=1,"Đã bảo trì","")</f>
        <v>Đã bảo trì</v>
      </c>
      <c r="E15" s="14" t="str">
        <f>if(countifs(DATABASE!I:I,"Bảo trì",DATABASE!E:E,B15,DATABASE!A:A,"&gt;01/06/2021",DATABASE!A:A,"&lt;01/09/2021")&gt;=1,"Đã bảo trì","")</f>
        <v/>
      </c>
      <c r="F15" s="14">
        <f>countifs(DATABASE!E:E,B15)</f>
        <v>4</v>
      </c>
    </row>
    <row r="16">
      <c r="A16" s="28">
        <v>12.0</v>
      </c>
      <c r="B16" s="26">
        <v>5.300380476E9</v>
      </c>
      <c r="C16" s="27" t="s">
        <v>405</v>
      </c>
      <c r="D16" s="14" t="str">
        <f>if(countifs(DATABASE!I:I,"Bảo trì",DATABASE!E:E,B16,DATABASE!A:A,"&gt;01/03/2021",DATABASE!A:A,"&lt;01/06/2021")&gt;=1,"Đã bảo trì","")</f>
        <v>Đã bảo trì</v>
      </c>
      <c r="E16" s="14" t="str">
        <f>if(countifs(DATABASE!I:I,"Bảo trì",DATABASE!E:E,B16,DATABASE!A:A,"&gt;01/06/2021",DATABASE!A:A,"&lt;01/09/2021")&gt;=1,"Đã bảo trì","")</f>
        <v/>
      </c>
      <c r="F16" s="14">
        <f>countifs(DATABASE!E:E,B16)</f>
        <v>1</v>
      </c>
    </row>
    <row r="17">
      <c r="A17" s="25">
        <v>13.0</v>
      </c>
      <c r="B17" s="26">
        <v>5.300380564E9</v>
      </c>
      <c r="C17" s="27" t="s">
        <v>406</v>
      </c>
      <c r="D17" s="14" t="str">
        <f>if(countifs(DATABASE!I:I,"Bảo trì",DATABASE!E:E,B17,DATABASE!A:A,"&gt;01/03/2021",DATABASE!A:A,"&lt;01/06/2021")&gt;=1,"Đã bảo trì","")</f>
        <v/>
      </c>
      <c r="E17" s="14" t="str">
        <f>if(countifs(DATABASE!I:I,"Bảo trì",DATABASE!E:E,B17,DATABASE!A:A,"&gt;01/06/2021",DATABASE!A:A,"&lt;01/09/2021")&gt;=1,"Đã bảo trì","")</f>
        <v/>
      </c>
      <c r="F17" s="14">
        <f>countifs(DATABASE!E:E,B17)</f>
        <v>0</v>
      </c>
    </row>
    <row r="18">
      <c r="A18" s="28">
        <v>14.0</v>
      </c>
      <c r="B18" s="26">
        <v>5.300380027E9</v>
      </c>
      <c r="C18" s="27" t="s">
        <v>406</v>
      </c>
      <c r="D18" s="14" t="str">
        <f>if(countifs(DATABASE!I:I,"Bảo trì",DATABASE!E:E,B18,DATABASE!A:A,"&gt;01/03/2021",DATABASE!A:A,"&lt;01/06/2021")&gt;=1,"Đã bảo trì","")</f>
        <v>Đã bảo trì</v>
      </c>
      <c r="E18" s="14" t="str">
        <f>if(countifs(DATABASE!I:I,"Bảo trì",DATABASE!E:E,B18,DATABASE!A:A,"&gt;01/06/2021",DATABASE!A:A,"&lt;01/09/2021")&gt;=1,"Đã bảo trì","")</f>
        <v/>
      </c>
      <c r="F18" s="14">
        <f>countifs(DATABASE!E:E,B18)</f>
        <v>1</v>
      </c>
    </row>
    <row r="19">
      <c r="A19" s="28">
        <v>15.0</v>
      </c>
      <c r="B19" s="26">
        <v>5.300380885E9</v>
      </c>
      <c r="C19" s="27" t="s">
        <v>407</v>
      </c>
      <c r="D19" s="14" t="str">
        <f>if(countifs(DATABASE!I:I,"Bảo trì",DATABASE!E:E,B19,DATABASE!A:A,"&gt;01/03/2021",DATABASE!A:A,"&lt;01/06/2021")&gt;=1,"Đã bảo trì","")</f>
        <v>Đã bảo trì</v>
      </c>
      <c r="E19" s="14" t="str">
        <f>if(countifs(DATABASE!I:I,"Bảo trì",DATABASE!E:E,B19,DATABASE!A:A,"&gt;01/06/2021",DATABASE!A:A,"&lt;01/09/2021")&gt;=1,"Đã bảo trì","")</f>
        <v>Đã bảo trì</v>
      </c>
      <c r="F19" s="14">
        <f>countifs(DATABASE!E:E,B19)</f>
        <v>2</v>
      </c>
    </row>
    <row r="20">
      <c r="A20" s="25">
        <v>16.0</v>
      </c>
      <c r="B20" s="26">
        <v>5.300377168E9</v>
      </c>
      <c r="C20" s="27" t="s">
        <v>408</v>
      </c>
      <c r="D20" s="14" t="str">
        <f>if(countifs(DATABASE!I:I,"Bảo trì",DATABASE!E:E,B20,DATABASE!A:A,"&gt;01/03/2021",DATABASE!A:A,"&lt;01/06/2021")&gt;=1,"Đã bảo trì","")</f>
        <v/>
      </c>
      <c r="E20" s="14" t="str">
        <f>if(countifs(DATABASE!I:I,"Bảo trì",DATABASE!E:E,B20,DATABASE!A:A,"&gt;01/06/2021",DATABASE!A:A,"&lt;01/09/2021")&gt;=1,"Đã bảo trì","")</f>
        <v/>
      </c>
      <c r="F20" s="14">
        <f>countifs(DATABASE!E:E,B20)</f>
        <v>1</v>
      </c>
    </row>
    <row r="21">
      <c r="A21" s="28">
        <v>17.0</v>
      </c>
      <c r="B21" s="26">
        <v>5.300381701E9</v>
      </c>
      <c r="C21" s="27" t="s">
        <v>409</v>
      </c>
      <c r="D21" s="14" t="str">
        <f>if(countifs(DATABASE!I:I,"Bảo trì",DATABASE!E:E,B21,DATABASE!A:A,"&gt;01/03/2021",DATABASE!A:A,"&lt;01/06/2021")&gt;=1,"Đã bảo trì","")</f>
        <v>Đã bảo trì</v>
      </c>
      <c r="E21" s="14" t="str">
        <f>if(countifs(DATABASE!I:I,"Bảo trì",DATABASE!E:E,B21,DATABASE!A:A,"&gt;01/06/2021",DATABASE!A:A,"&lt;01/09/2021")&gt;=1,"Đã bảo trì","")</f>
        <v/>
      </c>
      <c r="F21" s="14">
        <f>countifs(DATABASE!E:E,B21)</f>
        <v>9</v>
      </c>
    </row>
    <row r="22">
      <c r="A22" s="28">
        <v>18.0</v>
      </c>
      <c r="B22" s="26">
        <v>5.300380305E9</v>
      </c>
      <c r="C22" s="27" t="s">
        <v>410</v>
      </c>
      <c r="D22" s="14" t="str">
        <f>if(countifs(DATABASE!I:I,"Bảo trì",DATABASE!E:E,B22,DATABASE!A:A,"&gt;01/03/2021",DATABASE!A:A,"&lt;01/06/2021")&gt;=1,"Đã bảo trì","")</f>
        <v/>
      </c>
      <c r="E22" s="14" t="str">
        <f>if(countifs(DATABASE!I:I,"Bảo trì",DATABASE!E:E,B22,DATABASE!A:A,"&gt;01/06/2021",DATABASE!A:A,"&lt;01/09/2021")&gt;=1,"Đã bảo trì","")</f>
        <v/>
      </c>
      <c r="F22" s="14">
        <f>countifs(DATABASE!E:E,B22)</f>
        <v>1</v>
      </c>
    </row>
    <row r="23">
      <c r="A23" s="25">
        <v>19.0</v>
      </c>
      <c r="B23" s="26">
        <v>5.300380399E9</v>
      </c>
      <c r="C23" s="27" t="s">
        <v>411</v>
      </c>
      <c r="D23" s="14" t="str">
        <f>if(countifs(DATABASE!I:I,"Bảo trì",DATABASE!E:E,B23,DATABASE!A:A,"&gt;01/03/2021",DATABASE!A:A,"&lt;01/06/2021")&gt;=1,"Đã bảo trì","")</f>
        <v>Đã bảo trì</v>
      </c>
      <c r="E23" s="14" t="str">
        <f>if(countifs(DATABASE!I:I,"Bảo trì",DATABASE!E:E,B23,DATABASE!A:A,"&gt;01/06/2021",DATABASE!A:A,"&lt;01/09/2021")&gt;=1,"Đã bảo trì","")</f>
        <v>Đã bảo trì</v>
      </c>
      <c r="F23" s="14">
        <f>countifs(DATABASE!E:E,B23)</f>
        <v>4</v>
      </c>
    </row>
    <row r="24">
      <c r="A24" s="28">
        <v>20.0</v>
      </c>
      <c r="B24" s="26">
        <v>5.300380412E9</v>
      </c>
      <c r="C24" s="27" t="s">
        <v>412</v>
      </c>
      <c r="D24" s="14" t="str">
        <f>if(countifs(DATABASE!I:I,"Bảo trì",DATABASE!E:E,B24,DATABASE!A:A,"&gt;01/03/2021",DATABASE!A:A,"&lt;01/06/2021")&gt;=1,"Đã bảo trì","")</f>
        <v>Đã bảo trì</v>
      </c>
      <c r="E24" s="14" t="str">
        <f>if(countifs(DATABASE!I:I,"Bảo trì",DATABASE!E:E,B24,DATABASE!A:A,"&gt;01/06/2021",DATABASE!A:A,"&lt;01/09/2021")&gt;=1,"Đã bảo trì","")</f>
        <v/>
      </c>
      <c r="F24" s="14">
        <f>countifs(DATABASE!E:E,B24)</f>
        <v>4</v>
      </c>
    </row>
    <row r="25">
      <c r="A25" s="28">
        <v>21.0</v>
      </c>
      <c r="B25" s="26">
        <v>5.300380293E9</v>
      </c>
      <c r="C25" s="27" t="s">
        <v>413</v>
      </c>
      <c r="D25" s="14" t="str">
        <f>if(countifs(DATABASE!I:I,"Bảo trì",DATABASE!E:E,B25,DATABASE!A:A,"&gt;01/03/2021",DATABASE!A:A,"&lt;01/06/2021")&gt;=1,"Đã bảo trì","")</f>
        <v/>
      </c>
      <c r="E25" s="14" t="str">
        <f>if(countifs(DATABASE!I:I,"Bảo trì",DATABASE!E:E,B25,DATABASE!A:A,"&gt;01/06/2021",DATABASE!A:A,"&lt;01/09/2021")&gt;=1,"Đã bảo trì","")</f>
        <v/>
      </c>
      <c r="F25" s="14">
        <f>countifs(DATABASE!E:E,B25)</f>
        <v>2</v>
      </c>
    </row>
    <row r="26">
      <c r="A26" s="25">
        <v>22.0</v>
      </c>
      <c r="B26" s="26">
        <v>5.300380006E9</v>
      </c>
      <c r="C26" s="27" t="s">
        <v>414</v>
      </c>
      <c r="D26" s="14" t="str">
        <f>if(countifs(DATABASE!I:I,"Bảo trì",DATABASE!E:E,B26,DATABASE!A:A,"&gt;01/03/2021",DATABASE!A:A,"&lt;01/06/2021")&gt;=1,"Đã bảo trì","")</f>
        <v>Đã bảo trì</v>
      </c>
      <c r="E26" s="14" t="str">
        <f>if(countifs(DATABASE!I:I,"Bảo trì",DATABASE!E:E,B26,DATABASE!A:A,"&gt;01/06/2021",DATABASE!A:A,"&lt;01/09/2021")&gt;=1,"Đã bảo trì","")</f>
        <v/>
      </c>
      <c r="F26" s="14">
        <f>countifs(DATABASE!E:E,B26)</f>
        <v>10</v>
      </c>
    </row>
    <row r="27">
      <c r="A27" s="28">
        <v>23.0</v>
      </c>
      <c r="B27" s="26">
        <v>5.3003806E9</v>
      </c>
      <c r="C27" s="27" t="s">
        <v>415</v>
      </c>
      <c r="D27" s="14" t="str">
        <f>if(countifs(DATABASE!I:I,"Bảo trì",DATABASE!E:E,B27,DATABASE!A:A,"&gt;01/03/2021",DATABASE!A:A,"&lt;01/06/2021")&gt;=1,"Đã bảo trì","")</f>
        <v/>
      </c>
      <c r="E27" s="14" t="str">
        <f>if(countifs(DATABASE!I:I,"Bảo trì",DATABASE!E:E,B27,DATABASE!A:A,"&gt;01/06/2021",DATABASE!A:A,"&lt;01/09/2021")&gt;=1,"Đã bảo trì","")</f>
        <v/>
      </c>
      <c r="F27" s="14">
        <f>countifs(DATABASE!E:E,B27)</f>
        <v>1</v>
      </c>
    </row>
    <row r="28">
      <c r="A28" s="28">
        <v>24.0</v>
      </c>
      <c r="B28" s="26">
        <v>5.300380763E9</v>
      </c>
      <c r="C28" s="27" t="s">
        <v>416</v>
      </c>
      <c r="D28" s="14" t="str">
        <f>if(countifs(DATABASE!I:I,"Bảo trì",DATABASE!E:E,B28,DATABASE!A:A,"&gt;01/03/2021",DATABASE!A:A,"&lt;01/06/2021")&gt;=1,"Đã bảo trì","")</f>
        <v/>
      </c>
      <c r="E28" s="14" t="str">
        <f>if(countifs(DATABASE!I:I,"Bảo trì",DATABASE!E:E,B28,DATABASE!A:A,"&gt;01/06/2021",DATABASE!A:A,"&lt;01/09/2021")&gt;=1,"Đã bảo trì","")</f>
        <v/>
      </c>
      <c r="F28" s="14">
        <f>countifs(DATABASE!E:E,B28)</f>
        <v>2</v>
      </c>
    </row>
    <row r="29">
      <c r="A29" s="25">
        <v>25.0</v>
      </c>
      <c r="B29" s="26">
        <v>5.300380642E9</v>
      </c>
      <c r="C29" s="27" t="s">
        <v>417</v>
      </c>
      <c r="D29" s="14" t="str">
        <f>if(countifs(DATABASE!I:I,"Bảo trì",DATABASE!E:E,B29,DATABASE!A:A,"&gt;01/03/2021",DATABASE!A:A,"&lt;01/06/2021")&gt;=1,"Đã bảo trì","")</f>
        <v>Đã bảo trì</v>
      </c>
      <c r="E29" s="14" t="str">
        <f>if(countifs(DATABASE!I:I,"Bảo trì",DATABASE!E:E,B29,DATABASE!A:A,"&gt;01/06/2021",DATABASE!A:A,"&lt;01/09/2021")&gt;=1,"Đã bảo trì","")</f>
        <v/>
      </c>
      <c r="F29" s="14">
        <f>countifs(DATABASE!E:E,B29)</f>
        <v>3</v>
      </c>
    </row>
    <row r="30">
      <c r="A30" s="28">
        <v>26.0</v>
      </c>
      <c r="B30" s="26">
        <v>5.300379996E9</v>
      </c>
      <c r="C30" s="27" t="s">
        <v>418</v>
      </c>
      <c r="D30" s="14" t="str">
        <f>if(countifs(DATABASE!I:I,"Bảo trì",DATABASE!E:E,B30,DATABASE!A:A,"&gt;01/03/2021",DATABASE!A:A,"&lt;01/06/2021")&gt;=1,"Đã bảo trì","")</f>
        <v>Đã bảo trì</v>
      </c>
      <c r="E30" s="14" t="str">
        <f>if(countifs(DATABASE!I:I,"Bảo trì",DATABASE!E:E,B30,DATABASE!A:A,"&gt;01/06/2021",DATABASE!A:A,"&lt;01/09/2021")&gt;=1,"Đã bảo trì","")</f>
        <v/>
      </c>
      <c r="F30" s="14">
        <f>countifs(DATABASE!E:E,B30)</f>
        <v>1</v>
      </c>
    </row>
    <row r="31">
      <c r="A31" s="28">
        <v>27.0</v>
      </c>
      <c r="B31" s="26">
        <v>5.300381813E9</v>
      </c>
      <c r="C31" s="27" t="s">
        <v>419</v>
      </c>
      <c r="D31" s="14" t="str">
        <f>if(countifs(DATABASE!I:I,"Bảo trì",DATABASE!E:E,B31,DATABASE!A:A,"&gt;01/03/2021",DATABASE!A:A,"&lt;01/06/2021")&gt;=1,"Đã bảo trì","")</f>
        <v/>
      </c>
      <c r="E31" s="14" t="str">
        <f>if(countifs(DATABASE!I:I,"Bảo trì",DATABASE!E:E,B31,DATABASE!A:A,"&gt;01/06/2021",DATABASE!A:A,"&lt;01/09/2021")&gt;=1,"Đã bảo trì","")</f>
        <v/>
      </c>
      <c r="F31" s="14">
        <f>countifs(DATABASE!E:E,B31)</f>
        <v>0</v>
      </c>
    </row>
    <row r="32">
      <c r="A32" s="25">
        <v>28.0</v>
      </c>
      <c r="B32" s="26">
        <v>5.300378911E9</v>
      </c>
      <c r="C32" s="27" t="s">
        <v>420</v>
      </c>
      <c r="D32" s="14" t="str">
        <f>if(countifs(DATABASE!I:I,"Bảo trì",DATABASE!E:E,B32,DATABASE!A:A,"&gt;01/03/2021",DATABASE!A:A,"&lt;01/06/2021")&gt;=1,"Đã bảo trì","")</f>
        <v>Đã bảo trì</v>
      </c>
      <c r="E32" s="14" t="str">
        <f>if(countifs(DATABASE!I:I,"Bảo trì",DATABASE!E:E,B32,DATABASE!A:A,"&gt;01/06/2021",DATABASE!A:A,"&lt;01/09/2021")&gt;=1,"Đã bảo trì","")</f>
        <v/>
      </c>
      <c r="F32" s="14">
        <f>countifs(DATABASE!E:E,B32)</f>
        <v>5</v>
      </c>
    </row>
    <row r="33">
      <c r="A33" s="28">
        <v>29.0</v>
      </c>
      <c r="B33" s="26">
        <v>5.300380063E9</v>
      </c>
      <c r="C33" s="27" t="s">
        <v>421</v>
      </c>
      <c r="D33" s="14" t="str">
        <f>if(countifs(DATABASE!I:I,"Bảo trì",DATABASE!E:E,B33,DATABASE!A:A,"&gt;01/03/2021",DATABASE!A:A,"&lt;01/06/2021")&gt;=1,"Đã bảo trì","")</f>
        <v>Đã bảo trì</v>
      </c>
      <c r="E33" s="14" t="str">
        <f>if(countifs(DATABASE!I:I,"Bảo trì",DATABASE!E:E,B33,DATABASE!A:A,"&gt;01/06/2021",DATABASE!A:A,"&lt;01/09/2021")&gt;=1,"Đã bảo trì","")</f>
        <v/>
      </c>
      <c r="F33" s="14">
        <f>countifs(DATABASE!E:E,B33)</f>
        <v>7</v>
      </c>
    </row>
    <row r="34">
      <c r="A34" s="28">
        <v>30.0</v>
      </c>
      <c r="B34" s="26">
        <v>5.300378293E9</v>
      </c>
      <c r="C34" s="27" t="s">
        <v>422</v>
      </c>
      <c r="D34" s="14" t="str">
        <f>if(countifs(DATABASE!I:I,"Bảo trì",DATABASE!E:E,B34,DATABASE!A:A,"&gt;01/03/2021",DATABASE!A:A,"&lt;01/06/2021")&gt;=1,"Đã bảo trì","")</f>
        <v/>
      </c>
      <c r="E34" s="14" t="str">
        <f>if(countifs(DATABASE!I:I,"Bảo trì",DATABASE!E:E,B34,DATABASE!A:A,"&gt;01/06/2021",DATABASE!A:A,"&lt;01/09/2021")&gt;=1,"Đã bảo trì","")</f>
        <v/>
      </c>
      <c r="F34" s="14">
        <f>countifs(DATABASE!E:E,B34)</f>
        <v>2</v>
      </c>
    </row>
    <row r="35">
      <c r="A35" s="25">
        <v>31.0</v>
      </c>
      <c r="B35" s="26">
        <v>5.300380271E9</v>
      </c>
      <c r="C35" s="27" t="s">
        <v>423</v>
      </c>
      <c r="D35" s="14" t="str">
        <f>if(countifs(DATABASE!I:I,"Bảo trì",DATABASE!E:E,B35,DATABASE!A:A,"&gt;01/03/2021",DATABASE!A:A,"&lt;01/06/2021")&gt;=1,"Đã bảo trì","")</f>
        <v>Đã bảo trì</v>
      </c>
      <c r="E35" s="14" t="str">
        <f>if(countifs(DATABASE!I:I,"Bảo trì",DATABASE!E:E,B35,DATABASE!A:A,"&gt;01/06/2021",DATABASE!A:A,"&lt;01/09/2021")&gt;=1,"Đã bảo trì","")</f>
        <v/>
      </c>
      <c r="F35" s="14">
        <f>countifs(DATABASE!E:E,B35)</f>
        <v>9</v>
      </c>
    </row>
    <row r="36">
      <c r="A36" s="28">
        <v>32.0</v>
      </c>
      <c r="B36" s="26">
        <v>5.300381769E9</v>
      </c>
      <c r="C36" s="27" t="s">
        <v>424</v>
      </c>
      <c r="D36" s="14" t="str">
        <f>if(countifs(DATABASE!I:I,"Bảo trì",DATABASE!E:E,B36,DATABASE!A:A,"&gt;01/03/2021",DATABASE!A:A,"&lt;01/06/2021")&gt;=1,"Đã bảo trì","")</f>
        <v>Đã bảo trì</v>
      </c>
      <c r="E36" s="14" t="str">
        <f>if(countifs(DATABASE!I:I,"Bảo trì",DATABASE!E:E,B36,DATABASE!A:A,"&gt;01/06/2021",DATABASE!A:A,"&lt;01/09/2021")&gt;=1,"Đã bảo trì","")</f>
        <v/>
      </c>
      <c r="F36" s="14">
        <f>countifs(DATABASE!E:E,B36)</f>
        <v>1</v>
      </c>
    </row>
    <row r="37">
      <c r="A37" s="28">
        <v>33.0</v>
      </c>
      <c r="B37" s="26">
        <v>5.300381795E9</v>
      </c>
      <c r="C37" s="27" t="s">
        <v>425</v>
      </c>
      <c r="D37" s="14" t="str">
        <f>if(countifs(DATABASE!I:I,"Bảo trì",DATABASE!E:E,B37,DATABASE!A:A,"&gt;01/03/2021",DATABASE!A:A,"&lt;01/06/2021")&gt;=1,"Đã bảo trì","")</f>
        <v>Đã bảo trì</v>
      </c>
      <c r="E37" s="14" t="str">
        <f>if(countifs(DATABASE!I:I,"Bảo trì",DATABASE!E:E,B37,DATABASE!A:A,"&gt;01/06/2021",DATABASE!A:A,"&lt;01/09/2021")&gt;=1,"Đã bảo trì","")</f>
        <v/>
      </c>
      <c r="F37" s="14">
        <f>countifs(DATABASE!E:E,B37)</f>
        <v>5</v>
      </c>
    </row>
    <row r="38">
      <c r="A38" s="25">
        <v>34.0</v>
      </c>
      <c r="B38" s="26">
        <v>5.300377957E9</v>
      </c>
      <c r="C38" s="27" t="s">
        <v>426</v>
      </c>
      <c r="D38" s="14" t="str">
        <f>if(countifs(DATABASE!I:I,"Bảo trì",DATABASE!E:E,B38,DATABASE!A:A,"&gt;01/03/2021",DATABASE!A:A,"&lt;01/06/2021")&gt;=1,"Đã bảo trì","")</f>
        <v/>
      </c>
      <c r="E38" s="14" t="str">
        <f>if(countifs(DATABASE!I:I,"Bảo trì",DATABASE!E:E,B38,DATABASE!A:A,"&gt;01/06/2021",DATABASE!A:A,"&lt;01/09/2021")&gt;=1,"Đã bảo trì","")</f>
        <v/>
      </c>
      <c r="F38" s="14">
        <f>countifs(DATABASE!E:E,B38)</f>
        <v>2</v>
      </c>
    </row>
    <row r="39">
      <c r="A39" s="28">
        <v>35.0</v>
      </c>
      <c r="B39" s="26">
        <v>5.300380884E9</v>
      </c>
      <c r="C39" s="27" t="s">
        <v>427</v>
      </c>
      <c r="D39" s="14" t="str">
        <f>if(countifs(DATABASE!I:I,"Bảo trì",DATABASE!E:E,B39,DATABASE!A:A,"&gt;01/03/2021",DATABASE!A:A,"&lt;01/06/2021")&gt;=1,"Đã bảo trì","")</f>
        <v/>
      </c>
      <c r="E39" s="14" t="str">
        <f>if(countifs(DATABASE!I:I,"Bảo trì",DATABASE!E:E,B39,DATABASE!A:A,"&gt;01/06/2021",DATABASE!A:A,"&lt;01/09/2021")&gt;=1,"Đã bảo trì","")</f>
        <v/>
      </c>
      <c r="F39" s="14">
        <f>countifs(DATABASE!E:E,B39)</f>
        <v>1</v>
      </c>
    </row>
    <row r="40">
      <c r="A40" s="28">
        <v>36.0</v>
      </c>
      <c r="B40" s="26">
        <v>5.300380314E9</v>
      </c>
      <c r="C40" s="27" t="s">
        <v>428</v>
      </c>
      <c r="D40" s="14" t="str">
        <f>if(countifs(DATABASE!I:I,"Bảo trì",DATABASE!E:E,B40,DATABASE!A:A,"&gt;01/03/2021",DATABASE!A:A,"&lt;01/06/2021")&gt;=1,"Đã bảo trì","")</f>
        <v>Đã bảo trì</v>
      </c>
      <c r="E40" s="14" t="str">
        <f>if(countifs(DATABASE!I:I,"Bảo trì",DATABASE!E:E,B40,DATABASE!A:A,"&gt;01/06/2021",DATABASE!A:A,"&lt;01/09/2021")&gt;=1,"Đã bảo trì","")</f>
        <v/>
      </c>
      <c r="F40" s="14">
        <f>countifs(DATABASE!E:E,B40)</f>
        <v>2</v>
      </c>
    </row>
    <row r="41">
      <c r="A41" s="25">
        <v>37.0</v>
      </c>
      <c r="B41" s="26">
        <v>5.30038034E9</v>
      </c>
      <c r="C41" s="27" t="s">
        <v>429</v>
      </c>
      <c r="D41" s="14" t="str">
        <f>if(countifs(DATABASE!I:I,"Bảo trì",DATABASE!E:E,B41,DATABASE!A:A,"&gt;01/03/2021",DATABASE!A:A,"&lt;01/06/2021")&gt;=1,"Đã bảo trì","")</f>
        <v/>
      </c>
      <c r="E41" s="14" t="str">
        <f>if(countifs(DATABASE!I:I,"Bảo trì",DATABASE!E:E,B41,DATABASE!A:A,"&gt;01/06/2021",DATABASE!A:A,"&lt;01/09/2021")&gt;=1,"Đã bảo trì","")</f>
        <v/>
      </c>
      <c r="F41" s="14">
        <f>countifs(DATABASE!E:E,B41)</f>
        <v>2</v>
      </c>
    </row>
    <row r="42">
      <c r="A42" s="28">
        <v>38.0</v>
      </c>
      <c r="B42" s="26">
        <v>5.300378007E9</v>
      </c>
      <c r="C42" s="27" t="s">
        <v>430</v>
      </c>
      <c r="D42" s="14" t="str">
        <f>if(countifs(DATABASE!I:I,"Bảo trì",DATABASE!E:E,B42,DATABASE!A:A,"&gt;01/03/2021",DATABASE!A:A,"&lt;01/06/2021")&gt;=1,"Đã bảo trì","")</f>
        <v/>
      </c>
      <c r="E42" s="14" t="str">
        <f>if(countifs(DATABASE!I:I,"Bảo trì",DATABASE!E:E,B42,DATABASE!A:A,"&gt;01/06/2021",DATABASE!A:A,"&lt;01/09/2021")&gt;=1,"Đã bảo trì","")</f>
        <v/>
      </c>
      <c r="F42" s="14">
        <f>countifs(DATABASE!E:E,B42)</f>
        <v>2</v>
      </c>
    </row>
    <row r="43">
      <c r="A43" s="28">
        <v>39.0</v>
      </c>
      <c r="B43" s="26">
        <v>5.300378303E9</v>
      </c>
      <c r="C43" s="27" t="s">
        <v>431</v>
      </c>
      <c r="D43" s="14" t="str">
        <f>if(countifs(DATABASE!I:I,"Bảo trì",DATABASE!E:E,B43,DATABASE!A:A,"&gt;01/03/2021",DATABASE!A:A,"&lt;01/06/2021")&gt;=1,"Đã bảo trì","")</f>
        <v/>
      </c>
      <c r="E43" s="14" t="str">
        <f>if(countifs(DATABASE!I:I,"Bảo trì",DATABASE!E:E,B43,DATABASE!A:A,"&gt;01/06/2021",DATABASE!A:A,"&lt;01/09/2021")&gt;=1,"Đã bảo trì","")</f>
        <v/>
      </c>
      <c r="F43" s="14">
        <f>countifs(DATABASE!E:E,B43)</f>
        <v>0</v>
      </c>
    </row>
    <row r="44">
      <c r="A44" s="25">
        <v>40.0</v>
      </c>
      <c r="B44" s="26">
        <v>5.300381513E9</v>
      </c>
      <c r="C44" s="27" t="s">
        <v>432</v>
      </c>
      <c r="D44" s="14" t="str">
        <f>if(countifs(DATABASE!I:I,"Bảo trì",DATABASE!E:E,B44,DATABASE!A:A,"&gt;01/03/2021",DATABASE!A:A,"&lt;01/06/2021")&gt;=1,"Đã bảo trì","")</f>
        <v/>
      </c>
      <c r="E44" s="14" t="str">
        <f>if(countifs(DATABASE!I:I,"Bảo trì",DATABASE!E:E,B44,DATABASE!A:A,"&gt;01/06/2021",DATABASE!A:A,"&lt;01/09/2021")&gt;=1,"Đã bảo trì","")</f>
        <v/>
      </c>
      <c r="F44" s="14">
        <f>countifs(DATABASE!E:E,B44)</f>
        <v>1</v>
      </c>
    </row>
    <row r="45">
      <c r="A45" s="28">
        <v>41.0</v>
      </c>
      <c r="B45" s="26">
        <v>5.300380894E9</v>
      </c>
      <c r="C45" s="27" t="s">
        <v>433</v>
      </c>
      <c r="D45" s="14" t="str">
        <f>if(countifs(DATABASE!I:I,"Bảo trì",DATABASE!E:E,B45,DATABASE!A:A,"&gt;01/03/2021",DATABASE!A:A,"&lt;01/06/2021")&gt;=1,"Đã bảo trì","")</f>
        <v/>
      </c>
      <c r="E45" s="14" t="str">
        <f>if(countifs(DATABASE!I:I,"Bảo trì",DATABASE!E:E,B45,DATABASE!A:A,"&gt;01/06/2021",DATABASE!A:A,"&lt;01/09/2021")&gt;=1,"Đã bảo trì","")</f>
        <v/>
      </c>
      <c r="F45" s="14">
        <f>countifs(DATABASE!E:E,B45)</f>
        <v>2</v>
      </c>
    </row>
    <row r="46">
      <c r="A46" s="28">
        <v>42.0</v>
      </c>
      <c r="B46" s="26">
        <v>5.300381479E9</v>
      </c>
      <c r="C46" s="27" t="s">
        <v>434</v>
      </c>
      <c r="D46" s="14" t="str">
        <f>if(countifs(DATABASE!I:I,"Bảo trì",DATABASE!E:E,B46,DATABASE!A:A,"&gt;01/03/2021",DATABASE!A:A,"&lt;01/06/2021")&gt;=1,"Đã bảo trì","")</f>
        <v/>
      </c>
      <c r="E46" s="14" t="str">
        <f>if(countifs(DATABASE!I:I,"Bảo trì",DATABASE!E:E,B46,DATABASE!A:A,"&gt;01/06/2021",DATABASE!A:A,"&lt;01/09/2021")&gt;=1,"Đã bảo trì","")</f>
        <v/>
      </c>
      <c r="F46" s="14">
        <f>countifs(DATABASE!E:E,B46)</f>
        <v>2</v>
      </c>
    </row>
    <row r="47">
      <c r="A47" s="25">
        <v>43.0</v>
      </c>
      <c r="B47" s="26">
        <v>5.300378149E9</v>
      </c>
      <c r="C47" s="27" t="s">
        <v>435</v>
      </c>
      <c r="D47" s="14" t="str">
        <f>if(countifs(DATABASE!I:I,"Bảo trì",DATABASE!E:E,B47,DATABASE!A:A,"&gt;01/03/2021",DATABASE!A:A,"&lt;01/06/2021")&gt;=1,"Đã bảo trì","")</f>
        <v/>
      </c>
      <c r="E47" s="14" t="str">
        <f>if(countifs(DATABASE!I:I,"Bảo trì",DATABASE!E:E,B47,DATABASE!A:A,"&gt;01/06/2021",DATABASE!A:A,"&lt;01/09/2021")&gt;=1,"Đã bảo trì","")</f>
        <v/>
      </c>
      <c r="F47" s="14">
        <f>countifs(DATABASE!E:E,B47)</f>
        <v>1</v>
      </c>
    </row>
    <row r="48">
      <c r="A48" s="28">
        <v>44.0</v>
      </c>
      <c r="B48" s="26">
        <v>5.300378321E9</v>
      </c>
      <c r="C48" s="27" t="s">
        <v>436</v>
      </c>
      <c r="D48" s="14" t="str">
        <f>if(countifs(DATABASE!I:I,"Bảo trì",DATABASE!E:E,B48,DATABASE!A:A,"&gt;01/03/2021",DATABASE!A:A,"&lt;01/06/2021")&gt;=1,"Đã bảo trì","")</f>
        <v>Đã bảo trì</v>
      </c>
      <c r="E48" s="14" t="str">
        <f>if(countifs(DATABASE!I:I,"Bảo trì",DATABASE!E:E,B48,DATABASE!A:A,"&gt;01/06/2021",DATABASE!A:A,"&lt;01/09/2021")&gt;=1,"Đã bảo trì","")</f>
        <v/>
      </c>
      <c r="F48" s="14">
        <f>countifs(DATABASE!E:E,B48)</f>
        <v>4</v>
      </c>
    </row>
    <row r="49">
      <c r="A49" s="28">
        <v>45.0</v>
      </c>
      <c r="B49" s="26">
        <v>5.300381528E9</v>
      </c>
      <c r="C49" s="27" t="s">
        <v>437</v>
      </c>
      <c r="D49" s="14" t="str">
        <f>if(countifs(DATABASE!I:I,"Bảo trì",DATABASE!E:E,B49,DATABASE!A:A,"&gt;01/03/2021",DATABASE!A:A,"&lt;01/06/2021")&gt;=1,"Đã bảo trì","")</f>
        <v/>
      </c>
      <c r="E49" s="14" t="str">
        <f>if(countifs(DATABASE!I:I,"Bảo trì",DATABASE!E:E,B49,DATABASE!A:A,"&gt;01/06/2021",DATABASE!A:A,"&lt;01/09/2021")&gt;=1,"Đã bảo trì","")</f>
        <v/>
      </c>
      <c r="F49" s="14">
        <f>countifs(DATABASE!E:E,B49)</f>
        <v>1</v>
      </c>
    </row>
    <row r="50">
      <c r="A50" s="25">
        <v>46.0</v>
      </c>
      <c r="B50" s="26">
        <v>5.300380502E9</v>
      </c>
      <c r="C50" s="27" t="s">
        <v>438</v>
      </c>
      <c r="D50" s="14" t="str">
        <f>if(countifs(DATABASE!I:I,"Bảo trì",DATABASE!E:E,B50,DATABASE!A:A,"&gt;01/03/2021",DATABASE!A:A,"&lt;01/06/2021")&gt;=1,"Đã bảo trì","")</f>
        <v/>
      </c>
      <c r="E50" s="14" t="str">
        <f>if(countifs(DATABASE!I:I,"Bảo trì",DATABASE!E:E,B50,DATABASE!A:A,"&gt;01/06/2021",DATABASE!A:A,"&lt;01/09/2021")&gt;=1,"Đã bảo trì","")</f>
        <v/>
      </c>
      <c r="F50" s="14">
        <f>countifs(DATABASE!E:E,B50)</f>
        <v>1</v>
      </c>
    </row>
    <row r="51">
      <c r="A51" s="28">
        <v>47.0</v>
      </c>
      <c r="B51" s="26">
        <v>5.300381809E9</v>
      </c>
      <c r="C51" s="27" t="s">
        <v>439</v>
      </c>
      <c r="D51" s="14" t="str">
        <f>if(countifs(DATABASE!I:I,"Bảo trì",DATABASE!E:E,B51,DATABASE!A:A,"&gt;01/03/2021",DATABASE!A:A,"&lt;01/06/2021")&gt;=1,"Đã bảo trì","")</f>
        <v/>
      </c>
      <c r="E51" s="14" t="str">
        <f>if(countifs(DATABASE!I:I,"Bảo trì",DATABASE!E:E,B51,DATABASE!A:A,"&gt;01/06/2021",DATABASE!A:A,"&lt;01/09/2021")&gt;=1,"Đã bảo trì","")</f>
        <v/>
      </c>
      <c r="F51" s="14">
        <f>countifs(DATABASE!E:E,B51)</f>
        <v>1</v>
      </c>
    </row>
    <row r="52">
      <c r="A52" s="28">
        <v>48.0</v>
      </c>
      <c r="B52" s="26">
        <v>5.300378281E9</v>
      </c>
      <c r="C52" s="27" t="s">
        <v>440</v>
      </c>
      <c r="D52" s="14" t="str">
        <f>if(countifs(DATABASE!I:I,"Bảo trì",DATABASE!E:E,B52,DATABASE!A:A,"&gt;01/03/2021",DATABASE!A:A,"&lt;01/06/2021")&gt;=1,"Đã bảo trì","")</f>
        <v/>
      </c>
      <c r="E52" s="14" t="str">
        <f>if(countifs(DATABASE!I:I,"Bảo trì",DATABASE!E:E,B52,DATABASE!A:A,"&gt;01/06/2021",DATABASE!A:A,"&lt;01/09/2021")&gt;=1,"Đã bảo trì","")</f>
        <v/>
      </c>
      <c r="F52" s="14">
        <f>countifs(DATABASE!E:E,B52)</f>
        <v>1</v>
      </c>
    </row>
    <row r="53">
      <c r="A53" s="25">
        <v>49.0</v>
      </c>
      <c r="B53" s="26">
        <v>5.300381801E9</v>
      </c>
      <c r="C53" s="27" t="s">
        <v>441</v>
      </c>
      <c r="D53" s="14" t="str">
        <f>if(countifs(DATABASE!I:I,"Bảo trì",DATABASE!E:E,B53,DATABASE!A:A,"&gt;01/03/2021",DATABASE!A:A,"&lt;01/06/2021")&gt;=1,"Đã bảo trì","")</f>
        <v/>
      </c>
      <c r="E53" s="14" t="str">
        <f>if(countifs(DATABASE!I:I,"Bảo trì",DATABASE!E:E,B53,DATABASE!A:A,"&gt;01/06/2021",DATABASE!A:A,"&lt;01/09/2021")&gt;=1,"Đã bảo trì","")</f>
        <v/>
      </c>
      <c r="F53" s="14">
        <f>countifs(DATABASE!E:E,B53)</f>
        <v>4</v>
      </c>
    </row>
    <row r="54">
      <c r="A54" s="28">
        <v>50.0</v>
      </c>
      <c r="B54" s="26">
        <v>5.300380647E9</v>
      </c>
      <c r="C54" s="27" t="s">
        <v>442</v>
      </c>
      <c r="D54" s="14" t="str">
        <f>if(countifs(DATABASE!I:I,"Bảo trì",DATABASE!E:E,B54,DATABASE!A:A,"&gt;01/03/2021",DATABASE!A:A,"&lt;01/06/2021")&gt;=1,"Đã bảo trì","")</f>
        <v/>
      </c>
      <c r="E54" s="14" t="str">
        <f>if(countifs(DATABASE!I:I,"Bảo trì",DATABASE!E:E,B54,DATABASE!A:A,"&gt;01/06/2021",DATABASE!A:A,"&lt;01/09/2021")&gt;=1,"Đã bảo trì","")</f>
        <v/>
      </c>
      <c r="F54" s="14">
        <f>countifs(DATABASE!E:E,B54)</f>
        <v>2</v>
      </c>
    </row>
    <row r="55">
      <c r="A55" s="28">
        <v>51.0</v>
      </c>
      <c r="B55" s="26">
        <v>5.300380757E9</v>
      </c>
      <c r="C55" s="27" t="s">
        <v>443</v>
      </c>
      <c r="D55" s="14" t="str">
        <f>if(countifs(DATABASE!I:I,"Bảo trì",DATABASE!E:E,B55,DATABASE!A:A,"&gt;01/03/2021",DATABASE!A:A,"&lt;01/06/2021")&gt;=1,"Đã bảo trì","")</f>
        <v>Đã bảo trì</v>
      </c>
      <c r="E55" s="14" t="str">
        <f>if(countifs(DATABASE!I:I,"Bảo trì",DATABASE!E:E,B55,DATABASE!A:A,"&gt;01/06/2021",DATABASE!A:A,"&lt;01/09/2021")&gt;=1,"Đã bảo trì","")</f>
        <v/>
      </c>
      <c r="F55" s="14">
        <f>countifs(DATABASE!E:E,B55)</f>
        <v>1</v>
      </c>
    </row>
    <row r="56">
      <c r="A56" s="25">
        <v>52.0</v>
      </c>
      <c r="B56" s="26">
        <v>5.300380278E9</v>
      </c>
      <c r="C56" s="27" t="s">
        <v>444</v>
      </c>
      <c r="D56" s="14" t="str">
        <f>if(countifs(DATABASE!I:I,"Bảo trì",DATABASE!E:E,B56,DATABASE!A:A,"&gt;01/03/2021",DATABASE!A:A,"&lt;01/06/2021")&gt;=1,"Đã bảo trì","")</f>
        <v/>
      </c>
      <c r="E56" s="14" t="str">
        <f>if(countifs(DATABASE!I:I,"Bảo trì",DATABASE!E:E,B56,DATABASE!A:A,"&gt;01/06/2021",DATABASE!A:A,"&lt;01/09/2021")&gt;=1,"Đã bảo trì","")</f>
        <v/>
      </c>
      <c r="F56" s="14">
        <f>countifs(DATABASE!E:E,B56)</f>
        <v>4</v>
      </c>
    </row>
    <row r="57">
      <c r="A57" s="28">
        <v>53.0</v>
      </c>
      <c r="B57" s="26">
        <v>5.300380461E9</v>
      </c>
      <c r="C57" s="27" t="s">
        <v>445</v>
      </c>
      <c r="D57" s="14" t="str">
        <f>if(countifs(DATABASE!I:I,"Bảo trì",DATABASE!E:E,B57,DATABASE!A:A,"&gt;01/03/2021",DATABASE!A:A,"&lt;01/06/2021")&gt;=1,"Đã bảo trì","")</f>
        <v>Đã bảo trì</v>
      </c>
      <c r="E57" s="14" t="str">
        <f>if(countifs(DATABASE!I:I,"Bảo trì",DATABASE!E:E,B57,DATABASE!A:A,"&gt;01/06/2021",DATABASE!A:A,"&lt;01/09/2021")&gt;=1,"Đã bảo trì","")</f>
        <v/>
      </c>
      <c r="F57" s="14">
        <f>countifs(DATABASE!E:E,B57)</f>
        <v>4</v>
      </c>
    </row>
    <row r="58">
      <c r="A58" s="28">
        <v>54.0</v>
      </c>
      <c r="B58" s="26">
        <v>5.300377156E9</v>
      </c>
      <c r="C58" s="27" t="s">
        <v>446</v>
      </c>
      <c r="D58" s="14" t="str">
        <f>if(countifs(DATABASE!I:I,"Bảo trì",DATABASE!E:E,B58,DATABASE!A:A,"&gt;01/03/2021",DATABASE!A:A,"&lt;01/06/2021")&gt;=1,"Đã bảo trì","")</f>
        <v>Đã bảo trì</v>
      </c>
      <c r="E58" s="14" t="str">
        <f>if(countifs(DATABASE!I:I,"Bảo trì",DATABASE!E:E,B58,DATABASE!A:A,"&gt;01/06/2021",DATABASE!A:A,"&lt;01/09/2021")&gt;=1,"Đã bảo trì","")</f>
        <v/>
      </c>
      <c r="F58" s="14">
        <f>countifs(DATABASE!E:E,B58)</f>
        <v>3</v>
      </c>
    </row>
    <row r="59">
      <c r="A59" s="25">
        <v>55.0</v>
      </c>
      <c r="B59" s="26">
        <v>5.300381493E9</v>
      </c>
      <c r="C59" s="27" t="s">
        <v>447</v>
      </c>
      <c r="D59" s="14" t="str">
        <f>if(countifs(DATABASE!I:I,"Bảo trì",DATABASE!E:E,B59,DATABASE!A:A,"&gt;01/03/2021",DATABASE!A:A,"&lt;01/06/2021")&gt;=1,"Đã bảo trì","")</f>
        <v/>
      </c>
      <c r="E59" s="14" t="str">
        <f>if(countifs(DATABASE!I:I,"Bảo trì",DATABASE!E:E,B59,DATABASE!A:A,"&gt;01/06/2021",DATABASE!A:A,"&lt;01/09/2021")&gt;=1,"Đã bảo trì","")</f>
        <v/>
      </c>
      <c r="F59" s="14">
        <f>countifs(DATABASE!E:E,B59)</f>
        <v>4</v>
      </c>
    </row>
    <row r="60">
      <c r="A60" s="28">
        <v>56.0</v>
      </c>
      <c r="B60" s="26">
        <v>5.30037841E9</v>
      </c>
      <c r="C60" s="27" t="s">
        <v>448</v>
      </c>
      <c r="D60" s="14" t="str">
        <f>if(countifs(DATABASE!I:I,"Bảo trì",DATABASE!E:E,B60,DATABASE!A:A,"&gt;01/03/2021",DATABASE!A:A,"&lt;01/06/2021")&gt;=1,"Đã bảo trì","")</f>
        <v/>
      </c>
      <c r="E60" s="14" t="str">
        <f>if(countifs(DATABASE!I:I,"Bảo trì",DATABASE!E:E,B60,DATABASE!A:A,"&gt;01/06/2021",DATABASE!A:A,"&lt;01/09/2021")&gt;=1,"Đã bảo trì","")</f>
        <v/>
      </c>
      <c r="F60" s="14">
        <f>countifs(DATABASE!E:E,B60)</f>
        <v>0</v>
      </c>
    </row>
    <row r="61">
      <c r="A61" s="28">
        <v>57.0</v>
      </c>
      <c r="B61" s="26">
        <v>5.300381623E9</v>
      </c>
      <c r="C61" s="27" t="s">
        <v>449</v>
      </c>
      <c r="D61" s="14" t="str">
        <f>if(countifs(DATABASE!I:I,"Bảo trì",DATABASE!E:E,B61,DATABASE!A:A,"&gt;01/03/2021",DATABASE!A:A,"&lt;01/06/2021")&gt;=1,"Đã bảo trì","")</f>
        <v/>
      </c>
      <c r="E61" s="14" t="str">
        <f>if(countifs(DATABASE!I:I,"Bảo trì",DATABASE!E:E,B61,DATABASE!A:A,"&gt;01/06/2021",DATABASE!A:A,"&lt;01/09/2021")&gt;=1,"Đã bảo trì","")</f>
        <v/>
      </c>
      <c r="F61" s="14">
        <f>countifs(DATABASE!E:E,B61)</f>
        <v>5</v>
      </c>
    </row>
    <row r="62">
      <c r="A62" s="25">
        <v>58.0</v>
      </c>
      <c r="B62" s="26">
        <v>5.300381785E9</v>
      </c>
      <c r="C62" s="27" t="s">
        <v>450</v>
      </c>
      <c r="D62" s="14" t="str">
        <f>if(countifs(DATABASE!I:I,"Bảo trì",DATABASE!E:E,B62,DATABASE!A:A,"&gt;01/03/2021",DATABASE!A:A,"&lt;01/06/2021")&gt;=1,"Đã bảo trì","")</f>
        <v/>
      </c>
      <c r="E62" s="14" t="str">
        <f>if(countifs(DATABASE!I:I,"Bảo trì",DATABASE!E:E,B62,DATABASE!A:A,"&gt;01/06/2021",DATABASE!A:A,"&lt;01/09/2021")&gt;=1,"Đã bảo trì","")</f>
        <v/>
      </c>
      <c r="F62" s="14">
        <f>countifs(DATABASE!E:E,B62)</f>
        <v>2</v>
      </c>
    </row>
    <row r="63">
      <c r="A63" s="28">
        <v>59.0</v>
      </c>
      <c r="B63" s="26">
        <v>5.300380366E9</v>
      </c>
      <c r="C63" s="27" t="s">
        <v>451</v>
      </c>
      <c r="D63" s="14" t="str">
        <f>if(countifs(DATABASE!I:I,"Bảo trì",DATABASE!E:E,B63,DATABASE!A:A,"&gt;01/03/2021",DATABASE!A:A,"&lt;01/06/2021")&gt;=1,"Đã bảo trì","")</f>
        <v>Đã bảo trì</v>
      </c>
      <c r="E63" s="14" t="str">
        <f>if(countifs(DATABASE!I:I,"Bảo trì",DATABASE!E:E,B63,DATABASE!A:A,"&gt;01/06/2021",DATABASE!A:A,"&lt;01/09/2021")&gt;=1,"Đã bảo trì","")</f>
        <v/>
      </c>
      <c r="F63" s="14">
        <f>countifs(DATABASE!E:E,B63)</f>
        <v>3</v>
      </c>
    </row>
    <row r="64">
      <c r="A64" s="28">
        <v>60.0</v>
      </c>
      <c r="B64" s="26">
        <v>5.300380536E9</v>
      </c>
      <c r="C64" s="27" t="s">
        <v>452</v>
      </c>
      <c r="D64" s="14" t="str">
        <f>if(countifs(DATABASE!I:I,"Bảo trì",DATABASE!E:E,B64,DATABASE!A:A,"&gt;01/03/2021",DATABASE!A:A,"&lt;01/06/2021")&gt;=1,"Đã bảo trì","")</f>
        <v>Đã bảo trì</v>
      </c>
      <c r="E64" s="14" t="str">
        <f>if(countifs(DATABASE!I:I,"Bảo trì",DATABASE!E:E,B64,DATABASE!A:A,"&gt;01/06/2021",DATABASE!A:A,"&lt;01/09/2021")&gt;=1,"Đã bảo trì","")</f>
        <v/>
      </c>
      <c r="F64" s="14">
        <f>countifs(DATABASE!E:E,B64)</f>
        <v>8</v>
      </c>
    </row>
    <row r="65">
      <c r="A65" s="25">
        <v>61.0</v>
      </c>
      <c r="B65" s="26">
        <v>5.300381788E9</v>
      </c>
      <c r="C65" s="27" t="s">
        <v>453</v>
      </c>
      <c r="D65" s="14" t="str">
        <f>if(countifs(DATABASE!I:I,"Bảo trì",DATABASE!E:E,B65,DATABASE!A:A,"&gt;01/03/2021",DATABASE!A:A,"&lt;01/06/2021")&gt;=1,"Đã bảo trì","")</f>
        <v>Đã bảo trì</v>
      </c>
      <c r="E65" s="14" t="str">
        <f>if(countifs(DATABASE!I:I,"Bảo trì",DATABASE!E:E,B65,DATABASE!A:A,"&gt;01/06/2021",DATABASE!A:A,"&lt;01/09/2021")&gt;=1,"Đã bảo trì","")</f>
        <v>Đã bảo trì</v>
      </c>
      <c r="F65" s="14">
        <f>countifs(DATABASE!E:E,B65)</f>
        <v>7</v>
      </c>
    </row>
    <row r="66">
      <c r="A66" s="28">
        <v>62.0</v>
      </c>
      <c r="B66" s="26">
        <v>5.300381669E9</v>
      </c>
      <c r="C66" s="27" t="s">
        <v>454</v>
      </c>
      <c r="D66" s="14" t="str">
        <f>if(countifs(DATABASE!I:I,"Bảo trì",DATABASE!E:E,B66,DATABASE!A:A,"&gt;01/03/2021",DATABASE!A:A,"&lt;01/06/2021")&gt;=1,"Đã bảo trì","")</f>
        <v>Đã bảo trì</v>
      </c>
      <c r="E66" s="14" t="str">
        <f>if(countifs(DATABASE!I:I,"Bảo trì",DATABASE!E:E,B66,DATABASE!A:A,"&gt;01/06/2021",DATABASE!A:A,"&lt;01/09/2021")&gt;=1,"Đã bảo trì","")</f>
        <v/>
      </c>
      <c r="F66" s="14">
        <f>countifs(DATABASE!E:E,B66)</f>
        <v>2</v>
      </c>
    </row>
    <row r="67">
      <c r="A67" s="28">
        <v>63.0</v>
      </c>
      <c r="B67" s="26">
        <v>5.300381741E9</v>
      </c>
      <c r="C67" s="27" t="s">
        <v>455</v>
      </c>
      <c r="D67" s="14" t="str">
        <f>if(countifs(DATABASE!I:I,"Bảo trì",DATABASE!E:E,B67,DATABASE!A:A,"&gt;01/03/2021",DATABASE!A:A,"&lt;01/06/2021")&gt;=1,"Đã bảo trì","")</f>
        <v/>
      </c>
      <c r="E67" s="14" t="str">
        <f>if(countifs(DATABASE!I:I,"Bảo trì",DATABASE!E:E,B67,DATABASE!A:A,"&gt;01/06/2021",DATABASE!A:A,"&lt;01/09/2021")&gt;=1,"Đã bảo trì","")</f>
        <v/>
      </c>
      <c r="F67" s="14">
        <f>countifs(DATABASE!E:E,B67)</f>
        <v>8</v>
      </c>
    </row>
    <row r="68">
      <c r="A68" s="25">
        <v>64.0</v>
      </c>
      <c r="B68" s="26">
        <v>5.300381717E9</v>
      </c>
      <c r="C68" s="27" t="s">
        <v>456</v>
      </c>
      <c r="D68" s="14" t="str">
        <f>if(countifs(DATABASE!I:I,"Bảo trì",DATABASE!E:E,B68,DATABASE!A:A,"&gt;01/03/2021",DATABASE!A:A,"&lt;01/06/2021")&gt;=1,"Đã bảo trì","")</f>
        <v>Đã bảo trì</v>
      </c>
      <c r="E68" s="14" t="str">
        <f>if(countifs(DATABASE!I:I,"Bảo trì",DATABASE!E:E,B68,DATABASE!A:A,"&gt;01/06/2021",DATABASE!A:A,"&lt;01/09/2021")&gt;=1,"Đã bảo trì","")</f>
        <v/>
      </c>
      <c r="F68" s="14">
        <f>countifs(DATABASE!E:E,B68)</f>
        <v>4</v>
      </c>
    </row>
    <row r="69">
      <c r="A69" s="28">
        <v>65.0</v>
      </c>
      <c r="B69" s="26">
        <v>5.300381778E9</v>
      </c>
      <c r="C69" s="27" t="s">
        <v>457</v>
      </c>
      <c r="D69" s="14" t="str">
        <f>if(countifs(DATABASE!I:I,"Bảo trì",DATABASE!E:E,B69,DATABASE!A:A,"&gt;01/03/2021",DATABASE!A:A,"&lt;01/06/2021")&gt;=1,"Đã bảo trì","")</f>
        <v>Đã bảo trì</v>
      </c>
      <c r="E69" s="14" t="str">
        <f>if(countifs(DATABASE!I:I,"Bảo trì",DATABASE!E:E,B69,DATABASE!A:A,"&gt;01/06/2021",DATABASE!A:A,"&lt;01/09/2021")&gt;=1,"Đã bảo trì","")</f>
        <v/>
      </c>
      <c r="F69" s="14">
        <f>countifs(DATABASE!E:E,B69)</f>
        <v>3</v>
      </c>
    </row>
    <row r="70">
      <c r="A70" s="28">
        <v>66.0</v>
      </c>
      <c r="B70" s="26">
        <v>5.300381791E9</v>
      </c>
      <c r="C70" s="27" t="s">
        <v>458</v>
      </c>
      <c r="D70" s="14" t="str">
        <f>if(countifs(DATABASE!I:I,"Bảo trì",DATABASE!E:E,B70,DATABASE!A:A,"&gt;01/03/2021",DATABASE!A:A,"&lt;01/06/2021")&gt;=1,"Đã bảo trì","")</f>
        <v/>
      </c>
      <c r="E70" s="14" t="str">
        <f>if(countifs(DATABASE!I:I,"Bảo trì",DATABASE!E:E,B70,DATABASE!A:A,"&gt;01/06/2021",DATABASE!A:A,"&lt;01/09/2021")&gt;=1,"Đã bảo trì","")</f>
        <v/>
      </c>
      <c r="F70" s="14">
        <f>countifs(DATABASE!E:E,B70)</f>
        <v>2</v>
      </c>
    </row>
    <row r="71">
      <c r="A71" s="25">
        <v>67.0</v>
      </c>
      <c r="B71" s="26">
        <v>5.300381704E9</v>
      </c>
      <c r="C71" s="27" t="s">
        <v>459</v>
      </c>
      <c r="D71" s="14" t="str">
        <f>if(countifs(DATABASE!I:I,"Bảo trì",DATABASE!E:E,B71,DATABASE!A:A,"&gt;01/03/2021",DATABASE!A:A,"&lt;01/06/2021")&gt;=1,"Đã bảo trì","")</f>
        <v/>
      </c>
      <c r="E71" s="14" t="str">
        <f>if(countifs(DATABASE!I:I,"Bảo trì",DATABASE!E:E,B71,DATABASE!A:A,"&gt;01/06/2021",DATABASE!A:A,"&lt;01/09/2021")&gt;=1,"Đã bảo trì","")</f>
        <v/>
      </c>
      <c r="F71" s="14">
        <f>countifs(DATABASE!E:E,B71)</f>
        <v>4</v>
      </c>
    </row>
    <row r="72">
      <c r="A72" s="28">
        <v>68.0</v>
      </c>
      <c r="B72" s="26">
        <v>5.300381656E9</v>
      </c>
      <c r="C72" s="27" t="s">
        <v>460</v>
      </c>
      <c r="D72" s="14" t="str">
        <f>if(countifs(DATABASE!I:I,"Bảo trì",DATABASE!E:E,B72,DATABASE!A:A,"&gt;01/03/2021",DATABASE!A:A,"&lt;01/06/2021")&gt;=1,"Đã bảo trì","")</f>
        <v>Đã bảo trì</v>
      </c>
      <c r="E72" s="14" t="str">
        <f>if(countifs(DATABASE!I:I,"Bảo trì",DATABASE!E:E,B72,DATABASE!A:A,"&gt;01/06/2021",DATABASE!A:A,"&lt;01/09/2021")&gt;=1,"Đã bảo trì","")</f>
        <v/>
      </c>
      <c r="F72" s="14">
        <f>countifs(DATABASE!E:E,B72)</f>
        <v>3</v>
      </c>
    </row>
    <row r="73">
      <c r="A73" s="28">
        <v>69.0</v>
      </c>
      <c r="B73" s="26">
        <v>5.300380354E9</v>
      </c>
      <c r="C73" s="29" t="s">
        <v>461</v>
      </c>
      <c r="D73" s="14" t="str">
        <f>if(countifs(DATABASE!I:I,"Bảo trì",DATABASE!E:E,B73,DATABASE!A:A,"&gt;01/03/2021",DATABASE!A:A,"&lt;01/06/2021")&gt;=1,"Đã bảo trì","")</f>
        <v/>
      </c>
      <c r="E73" s="14" t="str">
        <f>if(countifs(DATABASE!I:I,"Bảo trì",DATABASE!E:E,B73,DATABASE!A:A,"&gt;01/06/2021",DATABASE!A:A,"&lt;01/09/2021")&gt;=1,"Đã bảo trì","")</f>
        <v/>
      </c>
      <c r="F73" s="14">
        <f>countifs(DATABASE!E:E,B73)</f>
        <v>3</v>
      </c>
    </row>
    <row r="74">
      <c r="A74" s="25">
        <v>70.0</v>
      </c>
      <c r="B74" s="26">
        <v>5.300380326E9</v>
      </c>
      <c r="C74" s="30" t="s">
        <v>462</v>
      </c>
      <c r="D74" s="14" t="str">
        <f>if(countifs(DATABASE!I:I,"Bảo trì",DATABASE!E:E,B74,DATABASE!A:A,"&gt;01/03/2021",DATABASE!A:A,"&lt;01/06/2021")&gt;=1,"Đã bảo trì","")</f>
        <v/>
      </c>
      <c r="E74" s="14" t="str">
        <f>if(countifs(DATABASE!I:I,"Bảo trì",DATABASE!E:E,B74,DATABASE!A:A,"&gt;01/06/2021",DATABASE!A:A,"&lt;01/09/2021")&gt;=1,"Đã bảo trì","")</f>
        <v/>
      </c>
      <c r="F74" s="14">
        <f>countifs(DATABASE!E:E,B74)</f>
        <v>1</v>
      </c>
    </row>
    <row r="75">
      <c r="A75" s="28">
        <v>71.0</v>
      </c>
      <c r="B75" s="26">
        <v>5.300381712E9</v>
      </c>
      <c r="C75" s="27" t="s">
        <v>463</v>
      </c>
      <c r="D75" s="14" t="str">
        <f>if(countifs(DATABASE!I:I,"Bảo trì",DATABASE!E:E,B75,DATABASE!A:A,"&gt;01/03/2021",DATABASE!A:A,"&lt;01/06/2021")&gt;=1,"Đã bảo trì","")</f>
        <v/>
      </c>
      <c r="E75" s="14" t="str">
        <f>if(countifs(DATABASE!I:I,"Bảo trì",DATABASE!E:E,B75,DATABASE!A:A,"&gt;01/06/2021",DATABASE!A:A,"&lt;01/09/2021")&gt;=1,"Đã bảo trì","")</f>
        <v/>
      </c>
      <c r="F75" s="14">
        <f>countifs(DATABASE!E:E,B75)</f>
        <v>2</v>
      </c>
    </row>
    <row r="76">
      <c r="A76" s="28">
        <v>72.0</v>
      </c>
      <c r="B76" s="26">
        <v>5.300380678E9</v>
      </c>
      <c r="C76" s="27" t="s">
        <v>464</v>
      </c>
      <c r="D76" s="14" t="str">
        <f>if(countifs(DATABASE!I:I,"Bảo trì",DATABASE!E:E,B76,DATABASE!A:A,"&gt;01/03/2021",DATABASE!A:A,"&lt;01/06/2021")&gt;=1,"Đã bảo trì","")</f>
        <v/>
      </c>
      <c r="E76" s="14" t="str">
        <f>if(countifs(DATABASE!I:I,"Bảo trì",DATABASE!E:E,B76,DATABASE!A:A,"&gt;01/06/2021",DATABASE!A:A,"&lt;01/09/2021")&gt;=1,"Đã bảo trì","")</f>
        <v/>
      </c>
      <c r="F76" s="14">
        <f>countifs(DATABASE!E:E,B76)</f>
        <v>2</v>
      </c>
    </row>
    <row r="77">
      <c r="A77" s="25">
        <v>73.0</v>
      </c>
      <c r="B77" s="26">
        <v>5.300380938E9</v>
      </c>
      <c r="C77" s="27" t="s">
        <v>465</v>
      </c>
      <c r="D77" s="14" t="str">
        <f>if(countifs(DATABASE!I:I,"Bảo trì",DATABASE!E:E,B77,DATABASE!A:A,"&gt;01/03/2021",DATABASE!A:A,"&lt;01/06/2021")&gt;=1,"Đã bảo trì","")</f>
        <v/>
      </c>
      <c r="E77" s="14" t="str">
        <f>if(countifs(DATABASE!I:I,"Bảo trì",DATABASE!E:E,B77,DATABASE!A:A,"&gt;01/06/2021",DATABASE!A:A,"&lt;01/09/2021")&gt;=1,"Đã bảo trì","")</f>
        <v/>
      </c>
      <c r="F77" s="14">
        <f>countifs(DATABASE!E:E,B77)</f>
        <v>2</v>
      </c>
    </row>
    <row r="78">
      <c r="A78" s="28">
        <v>74.0</v>
      </c>
      <c r="B78" s="26">
        <v>5.300380318E9</v>
      </c>
      <c r="C78" s="27" t="s">
        <v>466</v>
      </c>
      <c r="D78" s="14" t="str">
        <f>if(countifs(DATABASE!I:I,"Bảo trì",DATABASE!E:E,B78,DATABASE!A:A,"&gt;01/03/2021",DATABASE!A:A,"&lt;01/06/2021")&gt;=1,"Đã bảo trì","")</f>
        <v/>
      </c>
      <c r="E78" s="14" t="str">
        <f>if(countifs(DATABASE!I:I,"Bảo trì",DATABASE!E:E,B78,DATABASE!A:A,"&gt;01/06/2021",DATABASE!A:A,"&lt;01/09/2021")&gt;=1,"Đã bảo trì","")</f>
        <v/>
      </c>
      <c r="F78" s="14">
        <f>countifs(DATABASE!E:E,B78)</f>
        <v>2</v>
      </c>
    </row>
    <row r="79">
      <c r="A79" s="28">
        <v>75.0</v>
      </c>
      <c r="B79" s="26">
        <v>5.300380596E9</v>
      </c>
      <c r="C79" s="27" t="s">
        <v>467</v>
      </c>
      <c r="D79" s="14" t="str">
        <f>if(countifs(DATABASE!I:I,"Bảo trì",DATABASE!E:E,B79,DATABASE!A:A,"&gt;01/03/2021",DATABASE!A:A,"&lt;01/06/2021")&gt;=1,"Đã bảo trì","")</f>
        <v/>
      </c>
      <c r="E79" s="14" t="str">
        <f>if(countifs(DATABASE!I:I,"Bảo trì",DATABASE!E:E,B79,DATABASE!A:A,"&gt;01/06/2021",DATABASE!A:A,"&lt;01/09/2021")&gt;=1,"Đã bảo trì","")</f>
        <v/>
      </c>
      <c r="F79" s="14">
        <f>countifs(DATABASE!E:E,B79)</f>
        <v>3</v>
      </c>
    </row>
    <row r="80">
      <c r="A80" s="25">
        <v>76.0</v>
      </c>
      <c r="B80" s="26">
        <v>5.300381749E9</v>
      </c>
      <c r="C80" s="27" t="s">
        <v>468</v>
      </c>
      <c r="D80" s="14" t="str">
        <f>if(countifs(DATABASE!I:I,"Bảo trì",DATABASE!E:E,B80,DATABASE!A:A,"&gt;01/03/2021",DATABASE!A:A,"&lt;01/06/2021")&gt;=1,"Đã bảo trì","")</f>
        <v>Đã bảo trì</v>
      </c>
      <c r="E80" s="14" t="str">
        <f>if(countifs(DATABASE!I:I,"Bảo trì",DATABASE!E:E,B80,DATABASE!A:A,"&gt;01/06/2021",DATABASE!A:A,"&lt;01/09/2021")&gt;=1,"Đã bảo trì","")</f>
        <v/>
      </c>
      <c r="F80" s="14">
        <f>countifs(DATABASE!E:E,B80)</f>
        <v>2</v>
      </c>
    </row>
    <row r="81">
      <c r="A81" s="28">
        <v>77.0</v>
      </c>
      <c r="B81" s="26">
        <v>5.300380019E9</v>
      </c>
      <c r="C81" s="27" t="s">
        <v>469</v>
      </c>
      <c r="D81" s="14" t="str">
        <f>if(countifs(DATABASE!I:I,"Bảo trì",DATABASE!E:E,B81,DATABASE!A:A,"&gt;01/03/2021",DATABASE!A:A,"&lt;01/06/2021")&gt;=1,"Đã bảo trì","")</f>
        <v>Đã bảo trì</v>
      </c>
      <c r="E81" s="14" t="str">
        <f>if(countifs(DATABASE!I:I,"Bảo trì",DATABASE!E:E,B81,DATABASE!A:A,"&gt;01/06/2021",DATABASE!A:A,"&lt;01/09/2021")&gt;=1,"Đã bảo trì","")</f>
        <v/>
      </c>
      <c r="F81" s="14">
        <f>countifs(DATABASE!E:E,B81)</f>
        <v>2</v>
      </c>
    </row>
    <row r="82">
      <c r="A82" s="28">
        <v>78.0</v>
      </c>
      <c r="B82" s="26">
        <v>5.300380665E9</v>
      </c>
      <c r="C82" s="27" t="s">
        <v>470</v>
      </c>
      <c r="D82" s="14" t="str">
        <f>if(countifs(DATABASE!I:I,"Bảo trì",DATABASE!E:E,B82,DATABASE!A:A,"&gt;01/03/2021",DATABASE!A:A,"&lt;01/06/2021")&gt;=1,"Đã bảo trì","")</f>
        <v>Đã bảo trì</v>
      </c>
      <c r="E82" s="14" t="str">
        <f>if(countifs(DATABASE!I:I,"Bảo trì",DATABASE!E:E,B82,DATABASE!A:A,"&gt;01/06/2021",DATABASE!A:A,"&lt;01/09/2021")&gt;=1,"Đã bảo trì","")</f>
        <v/>
      </c>
      <c r="F82" s="14">
        <f>countifs(DATABASE!E:E,B82)</f>
        <v>2</v>
      </c>
    </row>
    <row r="83">
      <c r="A83" s="25">
        <v>79.0</v>
      </c>
      <c r="B83" s="26">
        <v>5.300378266E9</v>
      </c>
      <c r="C83" s="27" t="s">
        <v>471</v>
      </c>
      <c r="D83" s="14" t="str">
        <f>if(countifs(DATABASE!I:I,"Bảo trì",DATABASE!E:E,B83,DATABASE!A:A,"&gt;01/03/2021",DATABASE!A:A,"&lt;01/06/2021")&gt;=1,"Đã bảo trì","")</f>
        <v/>
      </c>
      <c r="E83" s="14" t="str">
        <f>if(countifs(DATABASE!I:I,"Bảo trì",DATABASE!E:E,B83,DATABASE!A:A,"&gt;01/06/2021",DATABASE!A:A,"&lt;01/09/2021")&gt;=1,"Đã bảo trì","")</f>
        <v/>
      </c>
      <c r="F83" s="14">
        <f>countifs(DATABASE!E:E,B83)</f>
        <v>1</v>
      </c>
    </row>
    <row r="84">
      <c r="A84" s="28">
        <v>80.0</v>
      </c>
      <c r="B84" s="26">
        <v>5.300378031E9</v>
      </c>
      <c r="C84" s="27" t="s">
        <v>472</v>
      </c>
      <c r="D84" s="14" t="str">
        <f>if(countifs(DATABASE!I:I,"Bảo trì",DATABASE!E:E,B84,DATABASE!A:A,"&gt;01/03/2021",DATABASE!A:A,"&lt;01/06/2021")&gt;=1,"Đã bảo trì","")</f>
        <v>Đã bảo trì</v>
      </c>
      <c r="E84" s="14" t="str">
        <f>if(countifs(DATABASE!I:I,"Bảo trì",DATABASE!E:E,B84,DATABASE!A:A,"&gt;01/06/2021",DATABASE!A:A,"&lt;01/09/2021")&gt;=1,"Đã bảo trì","")</f>
        <v/>
      </c>
      <c r="F84" s="14">
        <f>countifs(DATABASE!E:E,B84)</f>
        <v>3</v>
      </c>
    </row>
    <row r="85">
      <c r="A85" s="28">
        <v>81.0</v>
      </c>
      <c r="B85" s="26">
        <v>5.300380351E9</v>
      </c>
      <c r="C85" s="27" t="s">
        <v>473</v>
      </c>
      <c r="D85" s="14" t="str">
        <f>if(countifs(DATABASE!I:I,"Bảo trì",DATABASE!E:E,B85,DATABASE!A:A,"&gt;01/03/2021",DATABASE!A:A,"&lt;01/06/2021")&gt;=1,"Đã bảo trì","")</f>
        <v>Đã bảo trì</v>
      </c>
      <c r="E85" s="14" t="str">
        <f>if(countifs(DATABASE!I:I,"Bảo trì",DATABASE!E:E,B85,DATABASE!A:A,"&gt;01/06/2021",DATABASE!A:A,"&lt;01/09/2021")&gt;=1,"Đã bảo trì","")</f>
        <v/>
      </c>
      <c r="F85" s="14">
        <f>countifs(DATABASE!E:E,B85)</f>
        <v>1</v>
      </c>
    </row>
    <row r="86">
      <c r="A86" s="25">
        <v>82.0</v>
      </c>
      <c r="B86" s="26">
        <v>5.30038052E9</v>
      </c>
      <c r="C86" s="27" t="s">
        <v>474</v>
      </c>
      <c r="D86" s="14" t="str">
        <f>if(countifs(DATABASE!I:I,"Bảo trì",DATABASE!E:E,B86,DATABASE!A:A,"&gt;01/03/2021",DATABASE!A:A,"&lt;01/06/2021")&gt;=1,"Đã bảo trì","")</f>
        <v>Đã bảo trì</v>
      </c>
      <c r="E86" s="14" t="str">
        <f>if(countifs(DATABASE!I:I,"Bảo trì",DATABASE!E:E,B86,DATABASE!A:A,"&gt;01/06/2021",DATABASE!A:A,"&lt;01/09/2021")&gt;=1,"Đã bảo trì","")</f>
        <v/>
      </c>
      <c r="F86" s="14">
        <f>countifs(DATABASE!E:E,B86)</f>
        <v>2</v>
      </c>
    </row>
    <row r="87">
      <c r="A87" s="28">
        <v>83.0</v>
      </c>
      <c r="B87" s="26">
        <v>5.300377924E9</v>
      </c>
      <c r="C87" s="27" t="s">
        <v>475</v>
      </c>
      <c r="D87" s="14" t="str">
        <f>if(countifs(DATABASE!I:I,"Bảo trì",DATABASE!E:E,B87,DATABASE!A:A,"&gt;01/03/2021",DATABASE!A:A,"&lt;01/06/2021")&gt;=1,"Đã bảo trì","")</f>
        <v/>
      </c>
      <c r="E87" s="14" t="str">
        <f>if(countifs(DATABASE!I:I,"Bảo trì",DATABASE!E:E,B87,DATABASE!A:A,"&gt;01/06/2021",DATABASE!A:A,"&lt;01/09/2021")&gt;=1,"Đã bảo trì","")</f>
        <v/>
      </c>
      <c r="F87" s="14">
        <f>countifs(DATABASE!E:E,B87)</f>
        <v>0</v>
      </c>
    </row>
    <row r="88">
      <c r="A88" s="28">
        <v>84.0</v>
      </c>
      <c r="B88" s="26">
        <v>5.300378405E9</v>
      </c>
      <c r="C88" s="27" t="s">
        <v>476</v>
      </c>
      <c r="D88" s="14" t="str">
        <f>if(countifs(DATABASE!I:I,"Bảo trì",DATABASE!E:E,B88,DATABASE!A:A,"&gt;01/03/2021",DATABASE!A:A,"&lt;01/06/2021")&gt;=1,"Đã bảo trì","")</f>
        <v/>
      </c>
      <c r="E88" s="14" t="str">
        <f>if(countifs(DATABASE!I:I,"Bảo trì",DATABASE!E:E,B88,DATABASE!A:A,"&gt;01/06/2021",DATABASE!A:A,"&lt;01/09/2021")&gt;=1,"Đã bảo trì","")</f>
        <v/>
      </c>
      <c r="F88" s="14">
        <f>countifs(DATABASE!E:E,B88)</f>
        <v>1</v>
      </c>
    </row>
    <row r="89">
      <c r="A89" s="25">
        <v>85.0</v>
      </c>
      <c r="B89" s="26">
        <v>5.300378257E9</v>
      </c>
      <c r="C89" s="27" t="s">
        <v>477</v>
      </c>
      <c r="D89" s="14" t="str">
        <f>if(countifs(DATABASE!I:I,"Bảo trì",DATABASE!E:E,B89,DATABASE!A:A,"&gt;01/03/2021",DATABASE!A:A,"&lt;01/06/2021")&gt;=1,"Đã bảo trì","")</f>
        <v/>
      </c>
      <c r="E89" s="14" t="str">
        <f>if(countifs(DATABASE!I:I,"Bảo trì",DATABASE!E:E,B89,DATABASE!A:A,"&gt;01/06/2021",DATABASE!A:A,"&lt;01/09/2021")&gt;=1,"Đã bảo trì","")</f>
        <v/>
      </c>
      <c r="F89" s="14">
        <f>countifs(DATABASE!E:E,B89)</f>
        <v>1</v>
      </c>
    </row>
    <row r="90">
      <c r="A90" s="28">
        <v>86.0</v>
      </c>
      <c r="B90" s="26">
        <v>5.300380208E9</v>
      </c>
      <c r="C90" s="27" t="s">
        <v>478</v>
      </c>
      <c r="D90" s="14" t="str">
        <f>if(countifs(DATABASE!I:I,"Bảo trì",DATABASE!E:E,B90,DATABASE!A:A,"&gt;01/03/2021",DATABASE!A:A,"&lt;01/06/2021")&gt;=1,"Đã bảo trì","")</f>
        <v/>
      </c>
      <c r="E90" s="14" t="str">
        <f>if(countifs(DATABASE!I:I,"Bảo trì",DATABASE!E:E,B90,DATABASE!A:A,"&gt;01/06/2021",DATABASE!A:A,"&lt;01/09/2021")&gt;=1,"Đã bảo trì","")</f>
        <v/>
      </c>
      <c r="F90" s="14">
        <f>countifs(DATABASE!E:E,B90)</f>
        <v>0</v>
      </c>
    </row>
    <row r="91">
      <c r="A91" s="28">
        <v>87.0</v>
      </c>
      <c r="B91" s="26">
        <v>5.300380289E9</v>
      </c>
      <c r="C91" s="27" t="s">
        <v>479</v>
      </c>
      <c r="D91" s="14" t="str">
        <f>if(countifs(DATABASE!I:I,"Bảo trì",DATABASE!E:E,B91,DATABASE!A:A,"&gt;01/03/2021",DATABASE!A:A,"&lt;01/06/2021")&gt;=1,"Đã bảo trì","")</f>
        <v>Đã bảo trì</v>
      </c>
      <c r="E91" s="14" t="str">
        <f>if(countifs(DATABASE!I:I,"Bảo trì",DATABASE!E:E,B91,DATABASE!A:A,"&gt;01/06/2021",DATABASE!A:A,"&lt;01/09/2021")&gt;=1,"Đã bảo trì","")</f>
        <v/>
      </c>
      <c r="F91" s="14">
        <f>countifs(DATABASE!E:E,B91)</f>
        <v>2</v>
      </c>
    </row>
    <row r="92">
      <c r="A92" s="25">
        <v>88.0</v>
      </c>
      <c r="B92" s="26">
        <v>5.300378631E9</v>
      </c>
      <c r="C92" s="27" t="s">
        <v>479</v>
      </c>
      <c r="D92" s="14" t="str">
        <f>if(countifs(DATABASE!I:I,"Bảo trì",DATABASE!E:E,B92,DATABASE!A:A,"&gt;01/03/2021",DATABASE!A:A,"&lt;01/06/2021")&gt;=1,"Đã bảo trì","")</f>
        <v>Đã bảo trì</v>
      </c>
      <c r="E92" s="14" t="str">
        <f>if(countifs(DATABASE!I:I,"Bảo trì",DATABASE!E:E,B92,DATABASE!A:A,"&gt;01/06/2021",DATABASE!A:A,"&lt;01/09/2021")&gt;=1,"Đã bảo trì","")</f>
        <v/>
      </c>
      <c r="F92" s="14">
        <f>countifs(DATABASE!E:E,B92)</f>
        <v>3</v>
      </c>
    </row>
    <row r="93">
      <c r="A93" s="28">
        <v>89.0</v>
      </c>
      <c r="B93" s="26">
        <v>5.300381666E9</v>
      </c>
      <c r="C93" s="31" t="s">
        <v>480</v>
      </c>
      <c r="D93" s="14" t="str">
        <f>if(countifs(DATABASE!I:I,"Bảo trì",DATABASE!E:E,B93,DATABASE!A:A,"&gt;01/03/2021",DATABASE!A:A,"&lt;01/06/2021")&gt;=1,"Đã bảo trì","")</f>
        <v>Đã bảo trì</v>
      </c>
      <c r="E93" s="14" t="str">
        <f>if(countifs(DATABASE!I:I,"Bảo trì",DATABASE!E:E,B93,DATABASE!A:A,"&gt;01/06/2021",DATABASE!A:A,"&lt;01/09/2021")&gt;=1,"Đã bảo trì","")</f>
        <v/>
      </c>
      <c r="F93" s="14">
        <f>countifs(DATABASE!E:E,B93)</f>
        <v>1</v>
      </c>
    </row>
    <row r="94">
      <c r="A94" s="28">
        <v>90.0</v>
      </c>
      <c r="B94" s="26">
        <v>5.300379072E9</v>
      </c>
      <c r="C94" s="27" t="s">
        <v>481</v>
      </c>
      <c r="D94" s="14" t="str">
        <f>if(countifs(DATABASE!I:I,"Bảo trì",DATABASE!E:E,B94,DATABASE!A:A,"&gt;01/03/2021",DATABASE!A:A,"&lt;01/06/2021")&gt;=1,"Đã bảo trì","")</f>
        <v/>
      </c>
      <c r="E94" s="14" t="str">
        <f>if(countifs(DATABASE!I:I,"Bảo trì",DATABASE!E:E,B94,DATABASE!A:A,"&gt;01/06/2021",DATABASE!A:A,"&lt;01/09/2021")&gt;=1,"Đã bảo trì","")</f>
        <v/>
      </c>
      <c r="F94" s="14">
        <f>countifs(DATABASE!E:E,B94)</f>
        <v>1</v>
      </c>
    </row>
    <row r="95">
      <c r="A95" s="25">
        <v>91.0</v>
      </c>
      <c r="B95" s="26">
        <v>5.300380383E9</v>
      </c>
      <c r="C95" s="27" t="s">
        <v>482</v>
      </c>
      <c r="D95" s="14" t="str">
        <f>if(countifs(DATABASE!I:I,"Bảo trì",DATABASE!E:E,B95,DATABASE!A:A,"&gt;01/03/2021",DATABASE!A:A,"&lt;01/06/2021")&gt;=1,"Đã bảo trì","")</f>
        <v>Đã bảo trì</v>
      </c>
      <c r="E95" s="14" t="str">
        <f>if(countifs(DATABASE!I:I,"Bảo trì",DATABASE!E:E,B95,DATABASE!A:A,"&gt;01/06/2021",DATABASE!A:A,"&lt;01/09/2021")&gt;=1,"Đã bảo trì","")</f>
        <v/>
      </c>
      <c r="F95" s="14">
        <f>countifs(DATABASE!E:E,B95)</f>
        <v>1</v>
      </c>
    </row>
    <row r="96">
      <c r="A96" s="28">
        <v>92.0</v>
      </c>
      <c r="B96" s="26">
        <v>5.300378026E9</v>
      </c>
      <c r="C96" s="27" t="s">
        <v>483</v>
      </c>
      <c r="D96" s="14" t="str">
        <f>if(countifs(DATABASE!I:I,"Bảo trì",DATABASE!E:E,B96,DATABASE!A:A,"&gt;01/03/2021",DATABASE!A:A,"&lt;01/06/2021")&gt;=1,"Đã bảo trì","")</f>
        <v/>
      </c>
      <c r="E96" s="14" t="str">
        <f>if(countifs(DATABASE!I:I,"Bảo trì",DATABASE!E:E,B96,DATABASE!A:A,"&gt;01/06/2021",DATABASE!A:A,"&lt;01/09/2021")&gt;=1,"Đã bảo trì","")</f>
        <v/>
      </c>
      <c r="F96" s="14">
        <f>countifs(DATABASE!E:E,B96)</f>
        <v>1</v>
      </c>
    </row>
    <row r="97">
      <c r="A97" s="28">
        <v>93.0</v>
      </c>
      <c r="B97" s="26">
        <v>5.300380659E9</v>
      </c>
      <c r="C97" s="27" t="s">
        <v>484</v>
      </c>
      <c r="D97" s="14" t="str">
        <f>if(countifs(DATABASE!I:I,"Bảo trì",DATABASE!E:E,B97,DATABASE!A:A,"&gt;01/03/2021",DATABASE!A:A,"&lt;01/06/2021")&gt;=1,"Đã bảo trì","")</f>
        <v>Đã bảo trì</v>
      </c>
      <c r="E97" s="14" t="str">
        <f>if(countifs(DATABASE!I:I,"Bảo trì",DATABASE!E:E,B97,DATABASE!A:A,"&gt;01/06/2021",DATABASE!A:A,"&lt;01/09/2021")&gt;=1,"Đã bảo trì","")</f>
        <v/>
      </c>
      <c r="F97" s="14">
        <f>countifs(DATABASE!E:E,B97)</f>
        <v>3</v>
      </c>
    </row>
    <row r="98">
      <c r="A98" s="25">
        <v>94.0</v>
      </c>
      <c r="B98" s="26">
        <v>5.300381628E9</v>
      </c>
      <c r="C98" s="27" t="s">
        <v>485</v>
      </c>
      <c r="D98" s="14" t="str">
        <f>if(countifs(DATABASE!I:I,"Bảo trì",DATABASE!E:E,B98,DATABASE!A:A,"&gt;01/03/2021",DATABASE!A:A,"&lt;01/06/2021")&gt;=1,"Đã bảo trì","")</f>
        <v>Đã bảo trì</v>
      </c>
      <c r="E98" s="14" t="str">
        <f>if(countifs(DATABASE!I:I,"Bảo trì",DATABASE!E:E,B98,DATABASE!A:A,"&gt;01/06/2021",DATABASE!A:A,"&lt;01/09/2021")&gt;=1,"Đã bảo trì","")</f>
        <v/>
      </c>
      <c r="F98" s="14">
        <f>countifs(DATABASE!E:E,B98)</f>
        <v>2</v>
      </c>
    </row>
    <row r="99">
      <c r="A99" s="28">
        <v>95.0</v>
      </c>
      <c r="B99" s="26">
        <v>5.300378518E9</v>
      </c>
      <c r="C99" s="27" t="s">
        <v>486</v>
      </c>
      <c r="D99" s="14" t="str">
        <f>if(countifs(DATABASE!I:I,"Bảo trì",DATABASE!E:E,B99,DATABASE!A:A,"&gt;01/03/2021",DATABASE!A:A,"&lt;01/06/2021")&gt;=1,"Đã bảo trì","")</f>
        <v>Đã bảo trì</v>
      </c>
      <c r="E99" s="14" t="str">
        <f>if(countifs(DATABASE!I:I,"Bảo trì",DATABASE!E:E,B99,DATABASE!A:A,"&gt;01/06/2021",DATABASE!A:A,"&lt;01/09/2021")&gt;=1,"Đã bảo trì","")</f>
        <v/>
      </c>
      <c r="F99" s="14">
        <f>countifs(DATABASE!E:E,B99)</f>
        <v>2</v>
      </c>
    </row>
    <row r="100">
      <c r="A100" s="28">
        <v>96.0</v>
      </c>
      <c r="B100" s="26">
        <v>5.300380685E9</v>
      </c>
      <c r="C100" s="27" t="s">
        <v>487</v>
      </c>
      <c r="D100" s="14" t="str">
        <f>if(countifs(DATABASE!I:I,"Bảo trì",DATABASE!E:E,B100,DATABASE!A:A,"&gt;01/03/2021",DATABASE!A:A,"&lt;01/06/2021")&gt;=1,"Đã bảo trì","")</f>
        <v>Đã bảo trì</v>
      </c>
      <c r="E100" s="14" t="str">
        <f>if(countifs(DATABASE!I:I,"Bảo trì",DATABASE!E:E,B100,DATABASE!A:A,"&gt;01/06/2021",DATABASE!A:A,"&lt;01/09/2021")&gt;=1,"Đã bảo trì","")</f>
        <v/>
      </c>
      <c r="F100" s="14">
        <f>countifs(DATABASE!E:E,B100)</f>
        <v>1</v>
      </c>
    </row>
    <row r="101">
      <c r="A101" s="25">
        <v>97.0</v>
      </c>
      <c r="B101" s="26">
        <v>5.300381645E9</v>
      </c>
      <c r="C101" s="27" t="s">
        <v>488</v>
      </c>
      <c r="D101" s="14" t="str">
        <f>if(countifs(DATABASE!I:I,"Bảo trì",DATABASE!E:E,B101,DATABASE!A:A,"&gt;01/03/2021",DATABASE!A:A,"&lt;01/06/2021")&gt;=1,"Đã bảo trì","")</f>
        <v>Đã bảo trì</v>
      </c>
      <c r="E101" s="14" t="str">
        <f>if(countifs(DATABASE!I:I,"Bảo trì",DATABASE!E:E,B101,DATABASE!A:A,"&gt;01/06/2021",DATABASE!A:A,"&lt;01/09/2021")&gt;=1,"Đã bảo trì","")</f>
        <v/>
      </c>
      <c r="F101" s="14">
        <f>countifs(DATABASE!E:E,B101)</f>
        <v>2</v>
      </c>
    </row>
    <row r="102">
      <c r="A102" s="28">
        <v>98.0</v>
      </c>
      <c r="B102" s="26">
        <v>5.30038147E9</v>
      </c>
      <c r="C102" s="27" t="s">
        <v>489</v>
      </c>
      <c r="D102" s="14" t="str">
        <f>if(countifs(DATABASE!I:I,"Bảo trì",DATABASE!E:E,B102,DATABASE!A:A,"&gt;01/03/2021",DATABASE!A:A,"&lt;01/06/2021")&gt;=1,"Đã bảo trì","")</f>
        <v>Đã bảo trì</v>
      </c>
      <c r="E102" s="14" t="str">
        <f>if(countifs(DATABASE!I:I,"Bảo trì",DATABASE!E:E,B102,DATABASE!A:A,"&gt;01/06/2021",DATABASE!A:A,"&lt;01/09/2021")&gt;=1,"Đã bảo trì","")</f>
        <v/>
      </c>
      <c r="F102" s="14">
        <f>countifs(DATABASE!E:E,B102)</f>
        <v>3</v>
      </c>
    </row>
    <row r="103">
      <c r="A103" s="28">
        <v>99.0</v>
      </c>
      <c r="B103" s="26">
        <v>5.300381738E9</v>
      </c>
      <c r="C103" s="27" t="s">
        <v>490</v>
      </c>
      <c r="D103" s="14" t="str">
        <f>if(countifs(DATABASE!I:I,"Bảo trì",DATABASE!E:E,B103,DATABASE!A:A,"&gt;01/03/2021",DATABASE!A:A,"&lt;01/06/2021")&gt;=1,"Đã bảo trì","")</f>
        <v>Đã bảo trì</v>
      </c>
      <c r="E103" s="14" t="str">
        <f>if(countifs(DATABASE!I:I,"Bảo trì",DATABASE!E:E,B103,DATABASE!A:A,"&gt;01/06/2021",DATABASE!A:A,"&lt;01/09/2021")&gt;=1,"Đã bảo trì","")</f>
        <v/>
      </c>
      <c r="F103" s="14">
        <f>countifs(DATABASE!E:E,B103)</f>
        <v>4</v>
      </c>
    </row>
    <row r="104">
      <c r="A104" s="25">
        <v>100.0</v>
      </c>
      <c r="B104" s="26">
        <v>5.300380928E9</v>
      </c>
      <c r="C104" s="27" t="s">
        <v>491</v>
      </c>
      <c r="D104" s="14" t="str">
        <f>if(countifs(DATABASE!I:I,"Bảo trì",DATABASE!E:E,B104,DATABASE!A:A,"&gt;01/03/2021",DATABASE!A:A,"&lt;01/06/2021")&gt;=1,"Đã bảo trì","")</f>
        <v>Đã bảo trì</v>
      </c>
      <c r="E104" s="14" t="str">
        <f>if(countifs(DATABASE!I:I,"Bảo trì",DATABASE!E:E,B104,DATABASE!A:A,"&gt;01/06/2021",DATABASE!A:A,"&lt;01/09/2021")&gt;=1,"Đã bảo trì","")</f>
        <v/>
      </c>
      <c r="F104" s="14">
        <f>countifs(DATABASE!E:E,B104)</f>
        <v>2</v>
      </c>
    </row>
    <row r="105">
      <c r="A105" s="28">
        <v>101.0</v>
      </c>
      <c r="B105" s="26">
        <v>5.30038031E9</v>
      </c>
      <c r="C105" s="27" t="s">
        <v>492</v>
      </c>
      <c r="D105" s="14" t="str">
        <f>if(countifs(DATABASE!I:I,"Bảo trì",DATABASE!E:E,B105,DATABASE!A:A,"&gt;01/03/2021",DATABASE!A:A,"&lt;01/06/2021")&gt;=1,"Đã bảo trì","")</f>
        <v>Đã bảo trì</v>
      </c>
      <c r="E105" s="14" t="str">
        <f>if(countifs(DATABASE!I:I,"Bảo trì",DATABASE!E:E,B105,DATABASE!A:A,"&gt;01/06/2021",DATABASE!A:A,"&lt;01/09/2021")&gt;=1,"Đã bảo trì","")</f>
        <v/>
      </c>
      <c r="F105" s="14">
        <f>countifs(DATABASE!E:E,B105)</f>
        <v>2</v>
      </c>
    </row>
    <row r="106">
      <c r="A106" s="28">
        <v>102.0</v>
      </c>
      <c r="B106" s="26">
        <v>5.300381459E9</v>
      </c>
      <c r="C106" s="27" t="s">
        <v>493</v>
      </c>
      <c r="D106" s="14" t="str">
        <f>if(countifs(DATABASE!I:I,"Bảo trì",DATABASE!E:E,B106,DATABASE!A:A,"&gt;01/03/2021",DATABASE!A:A,"&lt;01/06/2021")&gt;=1,"Đã bảo trì","")</f>
        <v/>
      </c>
      <c r="E106" s="14" t="str">
        <f>if(countifs(DATABASE!I:I,"Bảo trì",DATABASE!E:E,B106,DATABASE!A:A,"&gt;01/06/2021",DATABASE!A:A,"&lt;01/09/2021")&gt;=1,"Đã bảo trì","")</f>
        <v/>
      </c>
      <c r="F106" s="14">
        <f>countifs(DATABASE!E:E,B106)</f>
        <v>0</v>
      </c>
    </row>
    <row r="107">
      <c r="A107" s="25">
        <v>103.0</v>
      </c>
      <c r="B107" s="26">
        <v>5.300380773E9</v>
      </c>
      <c r="C107" s="27" t="s">
        <v>494</v>
      </c>
      <c r="D107" s="14" t="str">
        <f>if(countifs(DATABASE!I:I,"Bảo trì",DATABASE!E:E,B107,DATABASE!A:A,"&gt;01/03/2021",DATABASE!A:A,"&lt;01/06/2021")&gt;=1,"Đã bảo trì","")</f>
        <v/>
      </c>
      <c r="E107" s="14" t="str">
        <f>if(countifs(DATABASE!I:I,"Bảo trì",DATABASE!E:E,B107,DATABASE!A:A,"&gt;01/06/2021",DATABASE!A:A,"&lt;01/09/2021")&gt;=1,"Đã bảo trì","")</f>
        <v/>
      </c>
      <c r="F107" s="14">
        <f>countifs(DATABASE!E:E,B107)</f>
        <v>0</v>
      </c>
    </row>
    <row r="108">
      <c r="A108" s="28">
        <v>104.0</v>
      </c>
      <c r="B108" s="26">
        <v>5.300380669E9</v>
      </c>
      <c r="C108" s="27" t="s">
        <v>495</v>
      </c>
      <c r="D108" s="14" t="str">
        <f>if(countifs(DATABASE!I:I,"Bảo trì",DATABASE!E:E,B108,DATABASE!A:A,"&gt;01/03/2021",DATABASE!A:A,"&lt;01/06/2021")&gt;=1,"Đã bảo trì","")</f>
        <v/>
      </c>
      <c r="E108" s="14" t="str">
        <f>if(countifs(DATABASE!I:I,"Bảo trì",DATABASE!E:E,B108,DATABASE!A:A,"&gt;01/06/2021",DATABASE!A:A,"&lt;01/09/2021")&gt;=1,"Đã bảo trì","")</f>
        <v/>
      </c>
      <c r="F108" s="14">
        <f>countifs(DATABASE!E:E,B108)</f>
        <v>0</v>
      </c>
    </row>
    <row r="109">
      <c r="A109" s="28">
        <v>105.0</v>
      </c>
      <c r="B109" s="26">
        <v>5.30038181E9</v>
      </c>
      <c r="C109" s="27" t="s">
        <v>496</v>
      </c>
      <c r="D109" s="14" t="str">
        <f>if(countifs(DATABASE!I:I,"Bảo trì",DATABASE!E:E,B109,DATABASE!A:A,"&gt;01/03/2021",DATABASE!A:A,"&lt;01/06/2021")&gt;=1,"Đã bảo trì","")</f>
        <v/>
      </c>
      <c r="E109" s="14" t="str">
        <f>if(countifs(DATABASE!I:I,"Bảo trì",DATABASE!E:E,B109,DATABASE!A:A,"&gt;01/06/2021",DATABASE!A:A,"&lt;01/09/2021")&gt;=1,"Đã bảo trì","")</f>
        <v/>
      </c>
      <c r="F109" s="14">
        <f>countifs(DATABASE!E:E,B109)</f>
        <v>0</v>
      </c>
    </row>
    <row r="110">
      <c r="A110" s="25">
        <v>106.0</v>
      </c>
      <c r="B110" s="26">
        <v>5.300378E9</v>
      </c>
      <c r="C110" s="27" t="s">
        <v>497</v>
      </c>
      <c r="D110" s="14" t="str">
        <f>if(countifs(DATABASE!I:I,"Bảo trì",DATABASE!E:E,B110,DATABASE!A:A,"&gt;01/03/2021",DATABASE!A:A,"&lt;01/06/2021")&gt;=1,"Đã bảo trì","")</f>
        <v/>
      </c>
      <c r="E110" s="14" t="str">
        <f>if(countifs(DATABASE!I:I,"Bảo trì",DATABASE!E:E,B110,DATABASE!A:A,"&gt;01/06/2021",DATABASE!A:A,"&lt;01/09/2021")&gt;=1,"Đã bảo trì","")</f>
        <v/>
      </c>
      <c r="F110" s="14">
        <f>countifs(DATABASE!E:E,B110)</f>
        <v>0</v>
      </c>
    </row>
    <row r="111">
      <c r="A111" s="28">
        <v>107.0</v>
      </c>
      <c r="B111" s="26">
        <v>5.300380483E9</v>
      </c>
      <c r="C111" s="27" t="s">
        <v>497</v>
      </c>
      <c r="D111" s="14" t="str">
        <f>if(countifs(DATABASE!I:I,"Bảo trì",DATABASE!E:E,B111,DATABASE!A:A,"&gt;01/03/2021",DATABASE!A:A,"&lt;01/06/2021")&gt;=1,"Đã bảo trì","")</f>
        <v/>
      </c>
      <c r="E111" s="14" t="str">
        <f>if(countifs(DATABASE!I:I,"Bảo trì",DATABASE!E:E,B111,DATABASE!A:A,"&gt;01/06/2021",DATABASE!A:A,"&lt;01/09/2021")&gt;=1,"Đã bảo trì","")</f>
        <v/>
      </c>
      <c r="F111" s="14">
        <f>countifs(DATABASE!E:E,B111)</f>
        <v>0</v>
      </c>
    </row>
    <row r="112">
      <c r="A112" s="28">
        <v>108.0</v>
      </c>
      <c r="B112" s="26">
        <v>5.300378347E9</v>
      </c>
      <c r="C112" s="27" t="s">
        <v>498</v>
      </c>
      <c r="D112" s="14" t="str">
        <f>if(countifs(DATABASE!I:I,"Bảo trì",DATABASE!E:E,B112,DATABASE!A:A,"&gt;01/03/2021",DATABASE!A:A,"&lt;01/06/2021")&gt;=1,"Đã bảo trì","")</f>
        <v/>
      </c>
      <c r="E112" s="14" t="str">
        <f>if(countifs(DATABASE!I:I,"Bảo trì",DATABASE!E:E,B112,DATABASE!A:A,"&gt;01/06/2021",DATABASE!A:A,"&lt;01/09/2021")&gt;=1,"Đã bảo trì","")</f>
        <v/>
      </c>
      <c r="F112" s="14">
        <f>countifs(DATABASE!E:E,B112)</f>
        <v>0</v>
      </c>
    </row>
    <row r="113">
      <c r="A113" s="25">
        <v>109.0</v>
      </c>
      <c r="B113" s="26">
        <v>5.300378554E9</v>
      </c>
      <c r="C113" s="27" t="s">
        <v>498</v>
      </c>
      <c r="D113" s="14" t="str">
        <f>if(countifs(DATABASE!I:I,"Bảo trì",DATABASE!E:E,B113,DATABASE!A:A,"&gt;01/03/2021",DATABASE!A:A,"&lt;01/06/2021")&gt;=1,"Đã bảo trì","")</f>
        <v/>
      </c>
      <c r="E113" s="14" t="str">
        <f>if(countifs(DATABASE!I:I,"Bảo trì",DATABASE!E:E,B113,DATABASE!A:A,"&gt;01/06/2021",DATABASE!A:A,"&lt;01/09/2021")&gt;=1,"Đã bảo trì","")</f>
        <v/>
      </c>
      <c r="F113" s="14">
        <f>countifs(DATABASE!E:E,B113)</f>
        <v>0</v>
      </c>
    </row>
    <row r="114">
      <c r="A114" s="28">
        <v>110.0</v>
      </c>
      <c r="B114" s="26">
        <v>5.300380445E9</v>
      </c>
      <c r="C114" s="27" t="s">
        <v>499</v>
      </c>
      <c r="D114" s="14" t="str">
        <f>if(countifs(DATABASE!I:I,"Bảo trì",DATABASE!E:E,B114,DATABASE!A:A,"&gt;01/03/2021",DATABASE!A:A,"&lt;01/06/2021")&gt;=1,"Đã bảo trì","")</f>
        <v/>
      </c>
      <c r="E114" s="14" t="str">
        <f>if(countifs(DATABASE!I:I,"Bảo trì",DATABASE!E:E,B114,DATABASE!A:A,"&gt;01/06/2021",DATABASE!A:A,"&lt;01/09/2021")&gt;=1,"Đã bảo trì","")</f>
        <v/>
      </c>
      <c r="F114" s="14">
        <f>countifs(DATABASE!E:E,B114)</f>
        <v>0</v>
      </c>
    </row>
    <row r="115">
      <c r="A115" s="28">
        <v>111.0</v>
      </c>
      <c r="B115" s="26">
        <v>5.300377188E9</v>
      </c>
      <c r="C115" s="27" t="s">
        <v>500</v>
      </c>
      <c r="D115" s="14" t="str">
        <f>if(countifs(DATABASE!I:I,"Bảo trì",DATABASE!E:E,B115,DATABASE!A:A,"&gt;01/03/2021",DATABASE!A:A,"&lt;01/06/2021")&gt;=1,"Đã bảo trì","")</f>
        <v/>
      </c>
      <c r="E115" s="14" t="str">
        <f>if(countifs(DATABASE!I:I,"Bảo trì",DATABASE!E:E,B115,DATABASE!A:A,"&gt;01/06/2021",DATABASE!A:A,"&lt;01/09/2021")&gt;=1,"Đã bảo trì","")</f>
        <v/>
      </c>
      <c r="F115" s="14">
        <f>countifs(DATABASE!E:E,B115)</f>
        <v>0</v>
      </c>
    </row>
    <row r="116">
      <c r="A116" s="25">
        <v>112.0</v>
      </c>
      <c r="B116" s="26">
        <v>5.300378613E9</v>
      </c>
      <c r="C116" s="27" t="s">
        <v>501</v>
      </c>
      <c r="D116" s="14" t="str">
        <f>if(countifs(DATABASE!I:I,"Bảo trì",DATABASE!E:E,B116,DATABASE!A:A,"&gt;01/03/2021",DATABASE!A:A,"&lt;01/06/2021")&gt;=1,"Đã bảo trì","")</f>
        <v/>
      </c>
      <c r="E116" s="14" t="str">
        <f>if(countifs(DATABASE!I:I,"Bảo trì",DATABASE!E:E,B116,DATABASE!A:A,"&gt;01/06/2021",DATABASE!A:A,"&lt;01/09/2021")&gt;=1,"Đã bảo trì","")</f>
        <v/>
      </c>
      <c r="F116" s="14">
        <f>countifs(DATABASE!E:E,B116)</f>
        <v>0</v>
      </c>
    </row>
    <row r="117">
      <c r="A117" s="28">
        <v>113.0</v>
      </c>
      <c r="B117" s="26">
        <v>5.300380267E9</v>
      </c>
      <c r="C117" s="27" t="s">
        <v>502</v>
      </c>
      <c r="D117" s="14" t="str">
        <f>if(countifs(DATABASE!I:I,"Bảo trì",DATABASE!E:E,B117,DATABASE!A:A,"&gt;01/03/2021",DATABASE!A:A,"&lt;01/06/2021")&gt;=1,"Đã bảo trì","")</f>
        <v/>
      </c>
      <c r="E117" s="14" t="str">
        <f>if(countifs(DATABASE!I:I,"Bảo trì",DATABASE!E:E,B117,DATABASE!A:A,"&gt;01/06/2021",DATABASE!A:A,"&lt;01/09/2021")&gt;=1,"Đã bảo trì","")</f>
        <v/>
      </c>
      <c r="F117" s="14">
        <f>countifs(DATABASE!E:E,B117)</f>
        <v>0</v>
      </c>
    </row>
    <row r="118">
      <c r="A118" s="28">
        <v>114.0</v>
      </c>
      <c r="B118" s="26">
        <v>5.300380743E9</v>
      </c>
      <c r="C118" s="27" t="s">
        <v>503</v>
      </c>
      <c r="D118" s="14" t="str">
        <f>if(countifs(DATABASE!I:I,"Bảo trì",DATABASE!E:E,B118,DATABASE!A:A,"&gt;01/03/2021",DATABASE!A:A,"&lt;01/06/2021")&gt;=1,"Đã bảo trì","")</f>
        <v/>
      </c>
      <c r="E118" s="14" t="str">
        <f>if(countifs(DATABASE!I:I,"Bảo trì",DATABASE!E:E,B118,DATABASE!A:A,"&gt;01/06/2021",DATABASE!A:A,"&lt;01/09/2021")&gt;=1,"Đã bảo trì","")</f>
        <v/>
      </c>
      <c r="F118" s="14">
        <f>countifs(DATABASE!E:E,B118)</f>
        <v>0</v>
      </c>
    </row>
    <row r="119">
      <c r="A119" s="25">
        <v>115.0</v>
      </c>
      <c r="B119" s="26">
        <v>5.300381762E9</v>
      </c>
      <c r="C119" s="27" t="s">
        <v>504</v>
      </c>
      <c r="D119" s="14" t="str">
        <f>if(countifs(DATABASE!I:I,"Bảo trì",DATABASE!E:E,B119,DATABASE!A:A,"&gt;01/03/2021",DATABASE!A:A,"&lt;01/06/2021")&gt;=1,"Đã bảo trì","")</f>
        <v/>
      </c>
      <c r="E119" s="14" t="str">
        <f>if(countifs(DATABASE!I:I,"Bảo trì",DATABASE!E:E,B119,DATABASE!A:A,"&gt;01/06/2021",DATABASE!A:A,"&lt;01/09/2021")&gt;=1,"Đã bảo trì","")</f>
        <v/>
      </c>
      <c r="F119" s="14">
        <f>countifs(DATABASE!E:E,B119)</f>
        <v>0</v>
      </c>
    </row>
    <row r="120">
      <c r="A120" s="28">
        <v>116.0</v>
      </c>
      <c r="B120" s="26">
        <v>5.300380362E9</v>
      </c>
      <c r="C120" s="27" t="s">
        <v>502</v>
      </c>
      <c r="D120" s="14" t="str">
        <f>if(countifs(DATABASE!I:I,"Bảo trì",DATABASE!E:E,B120,DATABASE!A:A,"&gt;01/03/2021",DATABASE!A:A,"&lt;01/06/2021")&gt;=1,"Đã bảo trì","")</f>
        <v/>
      </c>
      <c r="E120" s="14" t="str">
        <f>if(countifs(DATABASE!I:I,"Bảo trì",DATABASE!E:E,B120,DATABASE!A:A,"&gt;01/06/2021",DATABASE!A:A,"&lt;01/09/2021")&gt;=1,"Đã bảo trì","")</f>
        <v/>
      </c>
      <c r="F120" s="14">
        <f>countifs(DATABASE!E:E,B120)</f>
        <v>0</v>
      </c>
    </row>
    <row r="121">
      <c r="A121" s="28">
        <v>117.0</v>
      </c>
      <c r="B121" s="26">
        <v>5.300381755E9</v>
      </c>
      <c r="C121" s="27" t="s">
        <v>505</v>
      </c>
      <c r="D121" s="14" t="str">
        <f>if(countifs(DATABASE!I:I,"Bảo trì",DATABASE!E:E,B121,DATABASE!A:A,"&gt;01/03/2021",DATABASE!A:A,"&lt;01/06/2021")&gt;=1,"Đã bảo trì","")</f>
        <v/>
      </c>
      <c r="E121" s="14" t="str">
        <f>if(countifs(DATABASE!I:I,"Bảo trì",DATABASE!E:E,B121,DATABASE!A:A,"&gt;01/06/2021",DATABASE!A:A,"&lt;01/09/2021")&gt;=1,"Đã bảo trì","")</f>
        <v/>
      </c>
      <c r="F121" s="14">
        <f>countifs(DATABASE!E:E,B121)</f>
        <v>0</v>
      </c>
    </row>
    <row r="122">
      <c r="A122" s="25">
        <v>118.0</v>
      </c>
      <c r="B122" s="26">
        <v>5.300381518E9</v>
      </c>
      <c r="C122" s="27" t="s">
        <v>506</v>
      </c>
      <c r="D122" s="14" t="str">
        <f>if(countifs(DATABASE!I:I,"Bảo trì",DATABASE!E:E,B122,DATABASE!A:A,"&gt;01/03/2021",DATABASE!A:A,"&lt;01/06/2021")&gt;=1,"Đã bảo trì","")</f>
        <v/>
      </c>
      <c r="E122" s="14" t="str">
        <f>if(countifs(DATABASE!I:I,"Bảo trì",DATABASE!E:E,B122,DATABASE!A:A,"&gt;01/06/2021",DATABASE!A:A,"&lt;01/09/2021")&gt;=1,"Đã bảo trì","")</f>
        <v/>
      </c>
      <c r="F122" s="14">
        <f>countifs(DATABASE!E:E,B122)</f>
        <v>0</v>
      </c>
    </row>
    <row r="123">
      <c r="A123" s="28">
        <v>119.0</v>
      </c>
      <c r="B123" s="26">
        <v>5.300380622E9</v>
      </c>
      <c r="C123" s="27" t="s">
        <v>507</v>
      </c>
      <c r="D123" s="14" t="str">
        <f>if(countifs(DATABASE!I:I,"Bảo trì",DATABASE!E:E,B123,DATABASE!A:A,"&gt;01/03/2021",DATABASE!A:A,"&lt;01/06/2021")&gt;=1,"Đã bảo trì","")</f>
        <v/>
      </c>
      <c r="E123" s="14" t="str">
        <f>if(countifs(DATABASE!I:I,"Bảo trì",DATABASE!E:E,B123,DATABASE!A:A,"&gt;01/06/2021",DATABASE!A:A,"&lt;01/09/2021")&gt;=1,"Đã bảo trì","")</f>
        <v/>
      </c>
      <c r="F123" s="14">
        <f>countifs(DATABASE!E:E,B123)</f>
        <v>0</v>
      </c>
    </row>
    <row r="124">
      <c r="A124" s="28">
        <v>120.0</v>
      </c>
      <c r="B124" s="26">
        <v>5.300380568E9</v>
      </c>
      <c r="C124" s="27" t="s">
        <v>508</v>
      </c>
      <c r="D124" s="14" t="str">
        <f>if(countifs(DATABASE!I:I,"Bảo trì",DATABASE!E:E,B124,DATABASE!A:A,"&gt;01/03/2021",DATABASE!A:A,"&lt;01/06/2021")&gt;=1,"Đã bảo trì","")</f>
        <v/>
      </c>
      <c r="E124" s="14" t="str">
        <f>if(countifs(DATABASE!I:I,"Bảo trì",DATABASE!E:E,B124,DATABASE!A:A,"&gt;01/06/2021",DATABASE!A:A,"&lt;01/09/2021")&gt;=1,"Đã bảo trì","")</f>
        <v/>
      </c>
      <c r="F124" s="14">
        <f>countifs(DATABASE!E:E,B124)</f>
        <v>0</v>
      </c>
    </row>
    <row r="125">
      <c r="A125" s="25">
        <v>121.0</v>
      </c>
      <c r="B125" s="26">
        <v>5.300378916E9</v>
      </c>
      <c r="C125" s="27" t="s">
        <v>509</v>
      </c>
      <c r="D125" s="14" t="str">
        <f>if(countifs(DATABASE!I:I,"Bảo trì",DATABASE!E:E,B125,DATABASE!A:A,"&gt;01/03/2021",DATABASE!A:A,"&lt;01/06/2021")&gt;=1,"Đã bảo trì","")</f>
        <v/>
      </c>
      <c r="E125" s="14" t="str">
        <f>if(countifs(DATABASE!I:I,"Bảo trì",DATABASE!E:E,B125,DATABASE!A:A,"&gt;01/06/2021",DATABASE!A:A,"&lt;01/09/2021")&gt;=1,"Đã bảo trì","")</f>
        <v/>
      </c>
      <c r="F125" s="14">
        <f>countifs(DATABASE!E:E,B125)</f>
        <v>0</v>
      </c>
    </row>
    <row r="126">
      <c r="A126" s="28">
        <v>122.0</v>
      </c>
      <c r="B126" s="26">
        <v>5.300381683E9</v>
      </c>
      <c r="C126" s="27" t="s">
        <v>510</v>
      </c>
      <c r="D126" s="14" t="str">
        <f>if(countifs(DATABASE!I:I,"Bảo trì",DATABASE!E:E,B126,DATABASE!A:A,"&gt;01/03/2021",DATABASE!A:A,"&lt;01/06/2021")&gt;=1,"Đã bảo trì","")</f>
        <v/>
      </c>
      <c r="E126" s="14" t="str">
        <f>if(countifs(DATABASE!I:I,"Bảo trì",DATABASE!E:E,B126,DATABASE!A:A,"&gt;01/06/2021",DATABASE!A:A,"&lt;01/09/2021")&gt;=1,"Đã bảo trì","")</f>
        <v/>
      </c>
      <c r="F126" s="14">
        <f>countifs(DATABASE!E:E,B126)</f>
        <v>0</v>
      </c>
    </row>
    <row r="127">
      <c r="A127" s="28">
        <v>123.0</v>
      </c>
      <c r="B127" s="26">
        <v>5.300380915E9</v>
      </c>
      <c r="C127" s="27" t="s">
        <v>511</v>
      </c>
      <c r="D127" s="14" t="str">
        <f>if(countifs(DATABASE!I:I,"Bảo trì",DATABASE!E:E,B127,DATABASE!A:A,"&gt;01/03/2021",DATABASE!A:A,"&lt;01/06/2021")&gt;=1,"Đã bảo trì","")</f>
        <v/>
      </c>
      <c r="E127" s="14" t="str">
        <f>if(countifs(DATABASE!I:I,"Bảo trì",DATABASE!E:E,B127,DATABASE!A:A,"&gt;01/06/2021",DATABASE!A:A,"&lt;01/09/2021")&gt;=1,"Đã bảo trì","")</f>
        <v/>
      </c>
      <c r="F127" s="14">
        <f>countifs(DATABASE!E:E,B127)</f>
        <v>0</v>
      </c>
    </row>
    <row r="128">
      <c r="A128" s="25">
        <v>124.0</v>
      </c>
      <c r="B128" s="26">
        <v>5.300381498E9</v>
      </c>
      <c r="C128" s="27" t="s">
        <v>512</v>
      </c>
      <c r="D128" s="14" t="str">
        <f>if(countifs(DATABASE!I:I,"Bảo trì",DATABASE!E:E,B128,DATABASE!A:A,"&gt;01/03/2021",DATABASE!A:A,"&lt;01/06/2021")&gt;=1,"Đã bảo trì","")</f>
        <v/>
      </c>
      <c r="E128" s="14" t="str">
        <f>if(countifs(DATABASE!I:I,"Bảo trì",DATABASE!E:E,B128,DATABASE!A:A,"&gt;01/06/2021",DATABASE!A:A,"&lt;01/09/2021")&gt;=1,"Đã bảo trì","")</f>
        <v/>
      </c>
      <c r="F128" s="14">
        <f>countifs(DATABASE!E:E,B128)</f>
        <v>0</v>
      </c>
    </row>
    <row r="129">
      <c r="A129" s="28">
        <v>125.0</v>
      </c>
      <c r="B129" s="26">
        <v>5.300381616E9</v>
      </c>
      <c r="C129" s="27" t="s">
        <v>513</v>
      </c>
      <c r="D129" s="14" t="str">
        <f>if(countifs(DATABASE!I:I,"Bảo trì",DATABASE!E:E,B129,DATABASE!A:A,"&gt;01/03/2021",DATABASE!A:A,"&lt;01/06/2021")&gt;=1,"Đã bảo trì","")</f>
        <v/>
      </c>
      <c r="E129" s="14" t="str">
        <f>if(countifs(DATABASE!I:I,"Bảo trì",DATABASE!E:E,B129,DATABASE!A:A,"&gt;01/06/2021",DATABASE!A:A,"&lt;01/09/2021")&gt;=1,"Đã bảo trì","")</f>
        <v/>
      </c>
      <c r="F129" s="14">
        <f>countifs(DATABASE!E:E,B129)</f>
        <v>0</v>
      </c>
    </row>
    <row r="130">
      <c r="A130" s="28">
        <v>126.0</v>
      </c>
      <c r="B130" s="26">
        <v>5.300380395E9</v>
      </c>
      <c r="C130" s="27" t="s">
        <v>514</v>
      </c>
      <c r="D130" s="14" t="str">
        <f>if(countifs(DATABASE!I:I,"Bảo trì",DATABASE!E:E,B130,DATABASE!A:A,"&gt;01/03/2021",DATABASE!A:A,"&lt;01/06/2021")&gt;=1,"Đã bảo trì","")</f>
        <v/>
      </c>
      <c r="E130" s="14" t="str">
        <f>if(countifs(DATABASE!I:I,"Bảo trì",DATABASE!E:E,B130,DATABASE!A:A,"&gt;01/06/2021",DATABASE!A:A,"&lt;01/09/2021")&gt;=1,"Đã bảo trì","")</f>
        <v/>
      </c>
      <c r="F130" s="14">
        <f>countifs(DATABASE!E:E,B130)</f>
        <v>0</v>
      </c>
    </row>
    <row r="131">
      <c r="A131" s="25">
        <v>127.0</v>
      </c>
      <c r="B131" s="26">
        <v>5.300380322E9</v>
      </c>
      <c r="C131" s="27" t="s">
        <v>515</v>
      </c>
      <c r="D131" s="14" t="str">
        <f>if(countifs(DATABASE!I:I,"Bảo trì",DATABASE!E:E,B131,DATABASE!A:A,"&gt;01/03/2021",DATABASE!A:A,"&lt;01/06/2021")&gt;=1,"Đã bảo trì","")</f>
        <v/>
      </c>
      <c r="E131" s="14" t="str">
        <f>if(countifs(DATABASE!I:I,"Bảo trì",DATABASE!E:E,B131,DATABASE!A:A,"&gt;01/06/2021",DATABASE!A:A,"&lt;01/09/2021")&gt;=1,"Đã bảo trì","")</f>
        <v/>
      </c>
      <c r="F131" s="14">
        <f>countifs(DATABASE!E:E,B131)</f>
        <v>0</v>
      </c>
    </row>
    <row r="132">
      <c r="A132" s="28">
        <v>128.0</v>
      </c>
      <c r="B132" s="26">
        <v>5.300378844E9</v>
      </c>
      <c r="C132" s="27" t="s">
        <v>516</v>
      </c>
      <c r="D132" s="14" t="str">
        <f>if(countifs(DATABASE!I:I,"Bảo trì",DATABASE!E:E,B132,DATABASE!A:A,"&gt;01/03/2021",DATABASE!A:A,"&lt;01/06/2021")&gt;=1,"Đã bảo trì","")</f>
        <v/>
      </c>
      <c r="E132" s="14" t="str">
        <f>if(countifs(DATABASE!I:I,"Bảo trì",DATABASE!E:E,B132,DATABASE!A:A,"&gt;01/06/2021",DATABASE!A:A,"&lt;01/09/2021")&gt;=1,"Đã bảo trì","")</f>
        <v/>
      </c>
      <c r="F132" s="14">
        <f>countifs(DATABASE!E:E,B132)</f>
        <v>0</v>
      </c>
    </row>
    <row r="133">
      <c r="A133" s="28">
        <v>129.0</v>
      </c>
      <c r="B133" s="26">
        <v>5.300378584E9</v>
      </c>
      <c r="C133" s="27" t="s">
        <v>517</v>
      </c>
      <c r="D133" s="14" t="str">
        <f>if(countifs(DATABASE!I:I,"Bảo trì",DATABASE!E:E,B133,DATABASE!A:A,"&gt;01/03/2021",DATABASE!A:A,"&lt;01/06/2021")&gt;=1,"Đã bảo trì","")</f>
        <v/>
      </c>
      <c r="E133" s="14" t="str">
        <f>if(countifs(DATABASE!I:I,"Bảo trì",DATABASE!E:E,B133,DATABASE!A:A,"&gt;01/06/2021",DATABASE!A:A,"&lt;01/09/2021")&gt;=1,"Đã bảo trì","")</f>
        <v/>
      </c>
      <c r="F133" s="14">
        <f>countifs(DATABASE!E:E,B133)</f>
        <v>0</v>
      </c>
    </row>
    <row r="134">
      <c r="A134" s="25">
        <v>130.0</v>
      </c>
      <c r="B134" s="26">
        <v>5.300378273E9</v>
      </c>
      <c r="C134" s="27" t="s">
        <v>518</v>
      </c>
      <c r="D134" s="14" t="str">
        <f>if(countifs(DATABASE!I:I,"Bảo trì",DATABASE!E:E,B134,DATABASE!A:A,"&gt;01/03/2021",DATABASE!A:A,"&lt;01/06/2021")&gt;=1,"Đã bảo trì","")</f>
        <v/>
      </c>
      <c r="E134" s="14" t="str">
        <f>if(countifs(DATABASE!I:I,"Bảo trì",DATABASE!E:E,B134,DATABASE!A:A,"&gt;01/06/2021",DATABASE!A:A,"&lt;01/09/2021")&gt;=1,"Đã bảo trì","")</f>
        <v/>
      </c>
      <c r="F134" s="14">
        <f>countifs(DATABASE!E:E,B134)</f>
        <v>0</v>
      </c>
    </row>
    <row r="135">
      <c r="A135" s="28">
        <v>131.0</v>
      </c>
      <c r="B135" s="26">
        <v>5.300378154E9</v>
      </c>
      <c r="C135" s="27" t="s">
        <v>519</v>
      </c>
      <c r="D135" s="14" t="str">
        <f>if(countifs(DATABASE!I:I,"Bảo trì",DATABASE!E:E,B135,DATABASE!A:A,"&gt;01/03/2021",DATABASE!A:A,"&lt;01/06/2021")&gt;=1,"Đã bảo trì","")</f>
        <v/>
      </c>
      <c r="E135" s="14" t="str">
        <f>if(countifs(DATABASE!I:I,"Bảo trì",DATABASE!E:E,B135,DATABASE!A:A,"&gt;01/06/2021",DATABASE!A:A,"&lt;01/09/2021")&gt;=1,"Đã bảo trì","")</f>
        <v/>
      </c>
      <c r="F135" s="14">
        <f>countifs(DATABASE!E:E,B135)</f>
        <v>0</v>
      </c>
    </row>
    <row r="136">
      <c r="A136" s="28">
        <v>132.0</v>
      </c>
      <c r="B136" s="26">
        <v>5.30038092E9</v>
      </c>
      <c r="C136" s="27" t="s">
        <v>520</v>
      </c>
      <c r="D136" s="14" t="str">
        <f>if(countifs(DATABASE!I:I,"Bảo trì",DATABASE!E:E,B136,DATABASE!A:A,"&gt;01/03/2021",DATABASE!A:A,"&lt;01/06/2021")&gt;=1,"Đã bảo trì","")</f>
        <v/>
      </c>
      <c r="E136" s="14" t="str">
        <f>if(countifs(DATABASE!I:I,"Bảo trì",DATABASE!E:E,B136,DATABASE!A:A,"&gt;01/06/2021",DATABASE!A:A,"&lt;01/09/2021")&gt;=1,"Đã bảo trì","")</f>
        <v/>
      </c>
      <c r="F136" s="14">
        <f>countifs(DATABASE!E:E,B136)</f>
        <v>0</v>
      </c>
    </row>
    <row r="137">
      <c r="A137" s="25">
        <v>133.0</v>
      </c>
      <c r="B137" s="26">
        <v>5.300380374E9</v>
      </c>
      <c r="C137" s="27" t="s">
        <v>521</v>
      </c>
      <c r="D137" s="14" t="str">
        <f>if(countifs(DATABASE!I:I,"Bảo trì",DATABASE!E:E,B137,DATABASE!A:A,"&gt;01/03/2021",DATABASE!A:A,"&lt;01/06/2021")&gt;=1,"Đã bảo trì","")</f>
        <v/>
      </c>
      <c r="E137" s="14" t="str">
        <f>if(countifs(DATABASE!I:I,"Bảo trì",DATABASE!E:E,B137,DATABASE!A:A,"&gt;01/06/2021",DATABASE!A:A,"&lt;01/09/2021")&gt;=1,"Đã bảo trì","")</f>
        <v/>
      </c>
      <c r="F137" s="14">
        <f>countifs(DATABASE!E:E,B137)</f>
        <v>0</v>
      </c>
    </row>
    <row r="138">
      <c r="A138" s="28">
        <v>134.0</v>
      </c>
      <c r="B138" s="26">
        <v>5.300379933E9</v>
      </c>
      <c r="C138" s="27" t="s">
        <v>522</v>
      </c>
      <c r="D138" s="14" t="str">
        <f>if(countifs(DATABASE!I:I,"Bảo trì",DATABASE!E:E,B138,DATABASE!A:A,"&gt;01/03/2021",DATABASE!A:A,"&lt;01/06/2021")&gt;=1,"Đã bảo trì","")</f>
        <v/>
      </c>
      <c r="E138" s="14" t="str">
        <f>if(countifs(DATABASE!I:I,"Bảo trì",DATABASE!E:E,B138,DATABASE!A:A,"&gt;01/06/2021",DATABASE!A:A,"&lt;01/09/2021")&gt;=1,"Đã bảo trì","")</f>
        <v/>
      </c>
      <c r="F138" s="14">
        <f>countifs(DATABASE!E:E,B138)</f>
        <v>0</v>
      </c>
    </row>
    <row r="139">
      <c r="A139" s="28">
        <v>135.0</v>
      </c>
      <c r="B139" s="26">
        <v>5.300378535E9</v>
      </c>
      <c r="C139" s="27" t="s">
        <v>523</v>
      </c>
      <c r="D139" s="14" t="str">
        <f>if(countifs(DATABASE!I:I,"Bảo trì",DATABASE!E:E,B139,DATABASE!A:A,"&gt;01/03/2021",DATABASE!A:A,"&lt;01/06/2021")&gt;=1,"Đã bảo trì","")</f>
        <v/>
      </c>
      <c r="E139" s="14" t="str">
        <f>if(countifs(DATABASE!I:I,"Bảo trì",DATABASE!E:E,B139,DATABASE!A:A,"&gt;01/06/2021",DATABASE!A:A,"&lt;01/09/2021")&gt;=1,"Đã bảo trì","")</f>
        <v/>
      </c>
      <c r="F139" s="14">
        <f>countifs(DATABASE!E:E,B139)</f>
        <v>0</v>
      </c>
    </row>
    <row r="140">
      <c r="A140" s="25">
        <v>136.0</v>
      </c>
      <c r="B140" s="26">
        <v>5.300378564E9</v>
      </c>
      <c r="C140" s="27" t="s">
        <v>524</v>
      </c>
      <c r="D140" s="14" t="str">
        <f>if(countifs(DATABASE!I:I,"Bảo trì",DATABASE!E:E,B140,DATABASE!A:A,"&gt;01/03/2021",DATABASE!A:A,"&lt;01/06/2021")&gt;=1,"Đã bảo trì","")</f>
        <v/>
      </c>
      <c r="E140" s="14" t="str">
        <f>if(countifs(DATABASE!I:I,"Bảo trì",DATABASE!E:E,B140,DATABASE!A:A,"&gt;01/06/2021",DATABASE!A:A,"&lt;01/09/2021")&gt;=1,"Đã bảo trì","")</f>
        <v/>
      </c>
      <c r="F140" s="14">
        <f>countifs(DATABASE!E:E,B140)</f>
        <v>0</v>
      </c>
    </row>
    <row r="141">
      <c r="A141" s="28">
        <v>137.0</v>
      </c>
      <c r="B141" s="26">
        <v>5.300380053E9</v>
      </c>
      <c r="C141" s="27" t="s">
        <v>525</v>
      </c>
      <c r="D141" s="14" t="str">
        <f>if(countifs(DATABASE!I:I,"Bảo trì",DATABASE!E:E,B141,DATABASE!A:A,"&gt;01/03/2021",DATABASE!A:A,"&lt;01/06/2021")&gt;=1,"Đã bảo trì","")</f>
        <v/>
      </c>
      <c r="E141" s="14" t="str">
        <f>if(countifs(DATABASE!I:I,"Bảo trì",DATABASE!E:E,B141,DATABASE!A:A,"&gt;01/06/2021",DATABASE!A:A,"&lt;01/09/2021")&gt;=1,"Đã bảo trì","")</f>
        <v/>
      </c>
      <c r="F141" s="14">
        <f>countifs(DATABASE!E:E,B141)</f>
        <v>0</v>
      </c>
    </row>
    <row r="142">
      <c r="A142" s="28">
        <v>138.0</v>
      </c>
      <c r="B142" s="26">
        <v>5.300380297E9</v>
      </c>
      <c r="C142" s="27" t="s">
        <v>526</v>
      </c>
      <c r="D142" s="14" t="str">
        <f>if(countifs(DATABASE!I:I,"Bảo trì",DATABASE!E:E,B142,DATABASE!A:A,"&gt;01/03/2021",DATABASE!A:A,"&lt;01/06/2021")&gt;=1,"Đã bảo trì","")</f>
        <v/>
      </c>
      <c r="E142" s="14" t="str">
        <f>if(countifs(DATABASE!I:I,"Bảo trì",DATABASE!E:E,B142,DATABASE!A:A,"&gt;01/06/2021",DATABASE!A:A,"&lt;01/09/2021")&gt;=1,"Đã bảo trì","")</f>
        <v/>
      </c>
      <c r="F142" s="14">
        <f>countifs(DATABASE!E:E,B142)</f>
        <v>0</v>
      </c>
    </row>
    <row r="143">
      <c r="A143" s="25">
        <v>139.0</v>
      </c>
      <c r="B143" s="26">
        <v>5.30037829E9</v>
      </c>
      <c r="C143" s="27" t="s">
        <v>527</v>
      </c>
      <c r="D143" s="14" t="str">
        <f>if(countifs(DATABASE!I:I,"Bảo trì",DATABASE!E:E,B143,DATABASE!A:A,"&gt;01/03/2021",DATABASE!A:A,"&lt;01/06/2021")&gt;=1,"Đã bảo trì","")</f>
        <v/>
      </c>
      <c r="E143" s="14" t="str">
        <f>if(countifs(DATABASE!I:I,"Bảo trì",DATABASE!E:E,B143,DATABASE!A:A,"&gt;01/06/2021",DATABASE!A:A,"&lt;01/09/2021")&gt;=1,"Đã bảo trì","")</f>
        <v/>
      </c>
      <c r="F143" s="14">
        <f>countifs(DATABASE!E:E,B143)</f>
        <v>0</v>
      </c>
    </row>
    <row r="144">
      <c r="A144" s="28">
        <v>140.0</v>
      </c>
      <c r="B144" s="26">
        <v>5.300379955E9</v>
      </c>
      <c r="C144" s="27" t="s">
        <v>528</v>
      </c>
      <c r="D144" s="14" t="str">
        <f>if(countifs(DATABASE!I:I,"Bảo trì",DATABASE!E:E,B144,DATABASE!A:A,"&gt;01/03/2021",DATABASE!A:A,"&lt;01/06/2021")&gt;=1,"Đã bảo trì","")</f>
        <v/>
      </c>
      <c r="E144" s="14" t="str">
        <f>if(countifs(DATABASE!I:I,"Bảo trì",DATABASE!E:E,B144,DATABASE!A:A,"&gt;01/06/2021",DATABASE!A:A,"&lt;01/09/2021")&gt;=1,"Đã bảo trì","")</f>
        <v/>
      </c>
      <c r="F144" s="14">
        <f>countifs(DATABASE!E:E,B144)</f>
        <v>0</v>
      </c>
    </row>
    <row r="145">
      <c r="A145" s="28">
        <v>141.0</v>
      </c>
      <c r="B145" s="26">
        <v>5.300380282E9</v>
      </c>
      <c r="C145" s="27" t="s">
        <v>529</v>
      </c>
      <c r="D145" s="14" t="str">
        <f>if(countifs(DATABASE!I:I,"Bảo trì",DATABASE!E:E,B145,DATABASE!A:A,"&gt;01/03/2021",DATABASE!A:A,"&lt;01/06/2021")&gt;=1,"Đã bảo trì","")</f>
        <v/>
      </c>
      <c r="E145" s="14" t="str">
        <f>if(countifs(DATABASE!I:I,"Bảo trì",DATABASE!E:E,B145,DATABASE!A:A,"&gt;01/06/2021",DATABASE!A:A,"&lt;01/09/2021")&gt;=1,"Đã bảo trì","")</f>
        <v/>
      </c>
      <c r="F145" s="14">
        <f>countifs(DATABASE!E:E,B145)</f>
        <v>0</v>
      </c>
    </row>
    <row r="146">
      <c r="A146" s="25">
        <v>142.0</v>
      </c>
      <c r="B146" s="26">
        <v>5.300378528E9</v>
      </c>
      <c r="C146" s="27" t="s">
        <v>530</v>
      </c>
      <c r="D146" s="14" t="str">
        <f>if(countifs(DATABASE!I:I,"Bảo trì",DATABASE!E:E,B146,DATABASE!A:A,"&gt;01/03/2021",DATABASE!A:A,"&lt;01/06/2021")&gt;=1,"Đã bảo trì","")</f>
        <v/>
      </c>
      <c r="E146" s="14" t="str">
        <f>if(countifs(DATABASE!I:I,"Bảo trì",DATABASE!E:E,B146,DATABASE!A:A,"&gt;01/06/2021",DATABASE!A:A,"&lt;01/09/2021")&gt;=1,"Đã bảo trì","")</f>
        <v/>
      </c>
      <c r="F146" s="14">
        <f>countifs(DATABASE!E:E,B146)</f>
        <v>0</v>
      </c>
    </row>
    <row r="147">
      <c r="A147" s="28">
        <v>143.0</v>
      </c>
      <c r="B147" s="26">
        <v>5.300379978E9</v>
      </c>
      <c r="C147" s="27" t="s">
        <v>531</v>
      </c>
      <c r="D147" s="14" t="str">
        <f>if(countifs(DATABASE!I:I,"Bảo trì",DATABASE!E:E,B147,DATABASE!A:A,"&gt;01/03/2021",DATABASE!A:A,"&lt;01/06/2021")&gt;=1,"Đã bảo trì","")</f>
        <v/>
      </c>
      <c r="E147" s="14" t="str">
        <f>if(countifs(DATABASE!I:I,"Bảo trì",DATABASE!E:E,B147,DATABASE!A:A,"&gt;01/06/2021",DATABASE!A:A,"&lt;01/09/2021")&gt;=1,"Đã bảo trì","")</f>
        <v/>
      </c>
      <c r="F147" s="14">
        <f>countifs(DATABASE!E:E,B147)</f>
        <v>0</v>
      </c>
    </row>
    <row r="148">
      <c r="A148" s="28">
        <v>144.0</v>
      </c>
      <c r="B148" s="26">
        <v>5.30038042E9</v>
      </c>
      <c r="C148" s="27" t="s">
        <v>532</v>
      </c>
      <c r="D148" s="14" t="str">
        <f>if(countifs(DATABASE!I:I,"Bảo trì",DATABASE!E:E,B148,DATABASE!A:A,"&gt;01/03/2021",DATABASE!A:A,"&lt;01/06/2021")&gt;=1,"Đã bảo trì","")</f>
        <v/>
      </c>
      <c r="E148" s="14" t="str">
        <f>if(countifs(DATABASE!I:I,"Bảo trì",DATABASE!E:E,B148,DATABASE!A:A,"&gt;01/06/2021",DATABASE!A:A,"&lt;01/09/2021")&gt;=1,"Đã bảo trì","")</f>
        <v/>
      </c>
      <c r="F148" s="14">
        <f>countifs(DATABASE!E:E,B148)</f>
        <v>0</v>
      </c>
    </row>
    <row r="149">
      <c r="A149" s="25">
        <v>145.0</v>
      </c>
      <c r="B149" s="26">
        <v>5.300380587E9</v>
      </c>
      <c r="C149" s="27" t="s">
        <v>533</v>
      </c>
      <c r="D149" s="14" t="str">
        <f>if(countifs(DATABASE!I:I,"Bảo trì",DATABASE!E:E,B149,DATABASE!A:A,"&gt;01/03/2021",DATABASE!A:A,"&lt;01/06/2021")&gt;=1,"Đã bảo trì","")</f>
        <v/>
      </c>
      <c r="E149" s="14" t="str">
        <f>if(countifs(DATABASE!I:I,"Bảo trì",DATABASE!E:E,B149,DATABASE!A:A,"&gt;01/06/2021",DATABASE!A:A,"&lt;01/09/2021")&gt;=1,"Đã bảo trì","")</f>
        <v/>
      </c>
      <c r="F149" s="14">
        <f>countifs(DATABASE!E:E,B149)</f>
        <v>0</v>
      </c>
    </row>
    <row r="150">
      <c r="A150" s="28">
        <v>146.0</v>
      </c>
      <c r="B150" s="26">
        <v>5.300378419E9</v>
      </c>
      <c r="C150" s="27" t="s">
        <v>534</v>
      </c>
      <c r="D150" s="14" t="str">
        <f>if(countifs(DATABASE!I:I,"Bảo trì",DATABASE!E:E,B150,DATABASE!A:A,"&gt;01/03/2021",DATABASE!A:A,"&lt;01/06/2021")&gt;=1,"Đã bảo trì","")</f>
        <v/>
      </c>
      <c r="E150" s="14" t="str">
        <f>if(countifs(DATABASE!I:I,"Bảo trì",DATABASE!E:E,B150,DATABASE!A:A,"&gt;01/06/2021",DATABASE!A:A,"&lt;01/09/2021")&gt;=1,"Đã bảo trì","")</f>
        <v/>
      </c>
      <c r="F150" s="14">
        <f>countifs(DATABASE!E:E,B150)</f>
        <v>0</v>
      </c>
    </row>
    <row r="151">
      <c r="A151" s="28">
        <v>147.0</v>
      </c>
      <c r="B151" s="26">
        <v>5.300379204E9</v>
      </c>
      <c r="C151" s="27" t="s">
        <v>535</v>
      </c>
      <c r="D151" s="14" t="str">
        <f>if(countifs(DATABASE!I:I,"Bảo trì",DATABASE!E:E,B151,DATABASE!A:A,"&gt;01/03/2021",DATABASE!A:A,"&lt;01/06/2021")&gt;=1,"Đã bảo trì","")</f>
        <v/>
      </c>
      <c r="E151" s="14" t="str">
        <f>if(countifs(DATABASE!I:I,"Bảo trì",DATABASE!E:E,B151,DATABASE!A:A,"&gt;01/06/2021",DATABASE!A:A,"&lt;01/09/2021")&gt;=1,"Đã bảo trì","")</f>
        <v/>
      </c>
      <c r="F151" s="14">
        <f>countifs(DATABASE!E:E,B151)</f>
        <v>0</v>
      </c>
    </row>
    <row r="152">
      <c r="A152" s="25">
        <v>148.0</v>
      </c>
      <c r="B152" s="26">
        <v>5.300378821E9</v>
      </c>
      <c r="C152" s="27" t="s">
        <v>536</v>
      </c>
      <c r="D152" s="14" t="str">
        <f>if(countifs(DATABASE!I:I,"Bảo trì",DATABASE!E:E,B152,DATABASE!A:A,"&gt;01/03/2021",DATABASE!A:A,"&lt;01/06/2021")&gt;=1,"Đã bảo trì","")</f>
        <v/>
      </c>
      <c r="E152" s="14" t="str">
        <f>if(countifs(DATABASE!I:I,"Bảo trì",DATABASE!E:E,B152,DATABASE!A:A,"&gt;01/06/2021",DATABASE!A:A,"&lt;01/09/2021")&gt;=1,"Đã bảo trì","")</f>
        <v/>
      </c>
      <c r="F152" s="14">
        <f>countifs(DATABASE!E:E,B152)</f>
        <v>0</v>
      </c>
    </row>
    <row r="153">
      <c r="A153" s="28">
        <v>149.0</v>
      </c>
      <c r="B153" s="26">
        <v>5.300379211E9</v>
      </c>
      <c r="C153" s="27" t="s">
        <v>537</v>
      </c>
      <c r="D153" s="14" t="str">
        <f>if(countifs(DATABASE!I:I,"Bảo trì",DATABASE!E:E,B153,DATABASE!A:A,"&gt;01/03/2021",DATABASE!A:A,"&lt;01/06/2021")&gt;=1,"Đã bảo trì","")</f>
        <v/>
      </c>
      <c r="E153" s="14" t="str">
        <f>if(countifs(DATABASE!I:I,"Bảo trì",DATABASE!E:E,B153,DATABASE!A:A,"&gt;01/06/2021",DATABASE!A:A,"&lt;01/09/2021")&gt;=1,"Đã bảo trì","")</f>
        <v/>
      </c>
      <c r="F153" s="14">
        <f>countifs(DATABASE!E:E,B153)</f>
        <v>0</v>
      </c>
    </row>
    <row r="154">
      <c r="A154" s="28">
        <v>150.0</v>
      </c>
      <c r="B154" s="26">
        <v>5.300380347E9</v>
      </c>
      <c r="C154" s="27" t="s">
        <v>538</v>
      </c>
      <c r="D154" s="14" t="str">
        <f>if(countifs(DATABASE!I:I,"Bảo trì",DATABASE!E:E,B154,DATABASE!A:A,"&gt;01/03/2021",DATABASE!A:A,"&lt;01/06/2021")&gt;=1,"Đã bảo trì","")</f>
        <v/>
      </c>
      <c r="E154" s="14" t="str">
        <f>if(countifs(DATABASE!I:I,"Bảo trì",DATABASE!E:E,B154,DATABASE!A:A,"&gt;01/06/2021",DATABASE!A:A,"&lt;01/09/2021")&gt;=1,"Đã bảo trì","")</f>
        <v/>
      </c>
      <c r="F154" s="14">
        <f>countifs(DATABASE!E:E,B154)</f>
        <v>0</v>
      </c>
    </row>
    <row r="155">
      <c r="A155" s="25">
        <v>151.0</v>
      </c>
      <c r="B155" s="26">
        <v>5.300379201E9</v>
      </c>
      <c r="C155" s="27" t="s">
        <v>539</v>
      </c>
      <c r="D155" s="14" t="str">
        <f>if(countifs(DATABASE!I:I,"Bảo trì",DATABASE!E:E,B155,DATABASE!A:A,"&gt;01/03/2021",DATABASE!A:A,"&lt;01/06/2021")&gt;=1,"Đã bảo trì","")</f>
        <v/>
      </c>
      <c r="E155" s="14" t="str">
        <f>if(countifs(DATABASE!I:I,"Bảo trì",DATABASE!E:E,B155,DATABASE!A:A,"&gt;01/06/2021",DATABASE!A:A,"&lt;01/09/2021")&gt;=1,"Đã bảo trì","")</f>
        <v/>
      </c>
      <c r="F155" s="14">
        <f>countifs(DATABASE!E:E,B155)</f>
        <v>0</v>
      </c>
    </row>
    <row r="156">
      <c r="A156" s="28">
        <v>152.0</v>
      </c>
      <c r="B156" s="26">
        <v>5.300378895E9</v>
      </c>
      <c r="C156" s="27" t="s">
        <v>540</v>
      </c>
      <c r="D156" s="14" t="str">
        <f>if(countifs(DATABASE!I:I,"Bảo trì",DATABASE!E:E,B156,DATABASE!A:A,"&gt;01/03/2021",DATABASE!A:A,"&lt;01/06/2021")&gt;=1,"Đã bảo trì","")</f>
        <v/>
      </c>
      <c r="E156" s="14" t="str">
        <f>if(countifs(DATABASE!I:I,"Bảo trì",DATABASE!E:E,B156,DATABASE!A:A,"&gt;01/06/2021",DATABASE!A:A,"&lt;01/09/2021")&gt;=1,"Đã bảo trì","")</f>
        <v/>
      </c>
      <c r="F156" s="14">
        <f>countifs(DATABASE!E:E,B156)</f>
        <v>0</v>
      </c>
    </row>
    <row r="157">
      <c r="A157" s="28">
        <v>153.0</v>
      </c>
      <c r="B157" s="26">
        <v>5.300378643E9</v>
      </c>
      <c r="C157" s="27" t="s">
        <v>541</v>
      </c>
      <c r="D157" s="14" t="str">
        <f>if(countifs(DATABASE!I:I,"Bảo trì",DATABASE!E:E,B157,DATABASE!A:A,"&gt;01/03/2021",DATABASE!A:A,"&lt;01/06/2021")&gt;=1,"Đã bảo trì","")</f>
        <v/>
      </c>
      <c r="E157" s="14" t="str">
        <f>if(countifs(DATABASE!I:I,"Bảo trì",DATABASE!E:E,B157,DATABASE!A:A,"&gt;01/06/2021",DATABASE!A:A,"&lt;01/09/2021")&gt;=1,"Đã bảo trì","")</f>
        <v/>
      </c>
      <c r="F157" s="14">
        <f>countifs(DATABASE!E:E,B157)</f>
        <v>0</v>
      </c>
    </row>
    <row r="158">
      <c r="A158" s="25">
        <v>154.0</v>
      </c>
      <c r="B158" s="26">
        <v>5.300378177E9</v>
      </c>
      <c r="C158" s="27" t="s">
        <v>542</v>
      </c>
      <c r="D158" s="14" t="str">
        <f>if(countifs(DATABASE!I:I,"Bảo trì",DATABASE!E:E,B158,DATABASE!A:A,"&gt;01/03/2021",DATABASE!A:A,"&lt;01/06/2021")&gt;=1,"Đã bảo trì","")</f>
        <v/>
      </c>
      <c r="E158" s="14" t="str">
        <f>if(countifs(DATABASE!I:I,"Bảo trì",DATABASE!E:E,B158,DATABASE!A:A,"&gt;01/06/2021",DATABASE!A:A,"&lt;01/09/2021")&gt;=1,"Đã bảo trì","")</f>
        <v/>
      </c>
      <c r="F158" s="14">
        <f>countifs(DATABASE!E:E,B158)</f>
        <v>0</v>
      </c>
    </row>
    <row r="159">
      <c r="A159" s="28">
        <v>155.0</v>
      </c>
      <c r="B159" s="26">
        <v>5.300380327E9</v>
      </c>
      <c r="C159" s="27" t="s">
        <v>543</v>
      </c>
      <c r="D159" s="14" t="str">
        <f>if(countifs(DATABASE!I:I,"Bảo trì",DATABASE!E:E,B159,DATABASE!A:A,"&gt;01/03/2021",DATABASE!A:A,"&lt;01/06/2021")&gt;=1,"Đã bảo trì","")</f>
        <v/>
      </c>
      <c r="E159" s="14" t="str">
        <f>if(countifs(DATABASE!I:I,"Bảo trì",DATABASE!E:E,B159,DATABASE!A:A,"&gt;01/06/2021",DATABASE!A:A,"&lt;01/09/2021")&gt;=1,"Đã bảo trì","")</f>
        <v/>
      </c>
      <c r="F159" s="14">
        <f>countifs(DATABASE!E:E,B159)</f>
        <v>0</v>
      </c>
    </row>
    <row r="160">
      <c r="A160" s="28">
        <v>156.0</v>
      </c>
      <c r="B160" s="26">
        <v>5.300378829E9</v>
      </c>
      <c r="C160" s="27" t="s">
        <v>544</v>
      </c>
      <c r="D160" s="14" t="str">
        <f>if(countifs(DATABASE!I:I,"Bảo trì",DATABASE!E:E,B160,DATABASE!A:A,"&gt;01/03/2021",DATABASE!A:A,"&lt;01/06/2021")&gt;=1,"Đã bảo trì","")</f>
        <v/>
      </c>
      <c r="E160" s="14" t="str">
        <f>if(countifs(DATABASE!I:I,"Bảo trì",DATABASE!E:E,B160,DATABASE!A:A,"&gt;01/06/2021",DATABASE!A:A,"&lt;01/09/2021")&gt;=1,"Đã bảo trì","")</f>
        <v/>
      </c>
      <c r="F160" s="14">
        <f>countifs(DATABASE!E:E,B160)</f>
        <v>0</v>
      </c>
    </row>
    <row r="161">
      <c r="A161" s="25">
        <v>157.0</v>
      </c>
      <c r="B161" s="26">
        <v>5.300379205E9</v>
      </c>
      <c r="C161" s="27" t="s">
        <v>545</v>
      </c>
      <c r="D161" s="14" t="str">
        <f>if(countifs(DATABASE!I:I,"Bảo trì",DATABASE!E:E,B161,DATABASE!A:A,"&gt;01/03/2021",DATABASE!A:A,"&lt;01/06/2021")&gt;=1,"Đã bảo trì","")</f>
        <v/>
      </c>
      <c r="E161" s="14" t="str">
        <f>if(countifs(DATABASE!I:I,"Bảo trì",DATABASE!E:E,B161,DATABASE!A:A,"&gt;01/06/2021",DATABASE!A:A,"&lt;01/09/2021")&gt;=1,"Đã bảo trì","")</f>
        <v/>
      </c>
      <c r="F161" s="14">
        <f>countifs(DATABASE!E:E,B161)</f>
        <v>0</v>
      </c>
    </row>
    <row r="162">
      <c r="A162" s="28">
        <v>158.0</v>
      </c>
      <c r="B162" s="26">
        <v>5.300378586E9</v>
      </c>
      <c r="C162" s="27" t="s">
        <v>546</v>
      </c>
      <c r="D162" s="14" t="str">
        <f>if(countifs(DATABASE!I:I,"Bảo trì",DATABASE!E:E,B162,DATABASE!A:A,"&gt;01/03/2021",DATABASE!A:A,"&lt;01/06/2021")&gt;=1,"Đã bảo trì","")</f>
        <v/>
      </c>
      <c r="E162" s="14" t="str">
        <f>if(countifs(DATABASE!I:I,"Bảo trì",DATABASE!E:E,B162,DATABASE!A:A,"&gt;01/06/2021",DATABASE!A:A,"&lt;01/09/2021")&gt;=1,"Đã bảo trì","")</f>
        <v/>
      </c>
      <c r="F162" s="14">
        <f>countifs(DATABASE!E:E,B162)</f>
        <v>0</v>
      </c>
    </row>
    <row r="163">
      <c r="A163" s="28">
        <v>159.0</v>
      </c>
      <c r="B163" s="26">
        <v>5.300378514E9</v>
      </c>
      <c r="C163" s="27" t="s">
        <v>547</v>
      </c>
      <c r="D163" s="14" t="str">
        <f>if(countifs(DATABASE!I:I,"Bảo trì",DATABASE!E:E,B163,DATABASE!A:A,"&gt;01/03/2021",DATABASE!A:A,"&lt;01/06/2021")&gt;=1,"Đã bảo trì","")</f>
        <v/>
      </c>
      <c r="E163" s="14" t="str">
        <f>if(countifs(DATABASE!I:I,"Bảo trì",DATABASE!E:E,B163,DATABASE!A:A,"&gt;01/06/2021",DATABASE!A:A,"&lt;01/09/2021")&gt;=1,"Đã bảo trì","")</f>
        <v/>
      </c>
      <c r="F163" s="14">
        <f>countifs(DATABASE!E:E,B163)</f>
        <v>0</v>
      </c>
    </row>
    <row r="164">
      <c r="A164" s="25">
        <v>160.0</v>
      </c>
      <c r="B164" s="26">
        <v>5.300378934E9</v>
      </c>
      <c r="C164" s="27" t="s">
        <v>548</v>
      </c>
      <c r="D164" s="14" t="str">
        <f>if(countifs(DATABASE!I:I,"Bảo trì",DATABASE!E:E,B164,DATABASE!A:A,"&gt;01/03/2021",DATABASE!A:A,"&lt;01/06/2021")&gt;=1,"Đã bảo trì","")</f>
        <v/>
      </c>
      <c r="E164" s="14" t="str">
        <f>if(countifs(DATABASE!I:I,"Bảo trì",DATABASE!E:E,B164,DATABASE!A:A,"&gt;01/06/2021",DATABASE!A:A,"&lt;01/09/2021")&gt;=1,"Đã bảo trì","")</f>
        <v/>
      </c>
      <c r="F164" s="14">
        <f>countifs(DATABASE!E:E,B164)</f>
        <v>0</v>
      </c>
    </row>
    <row r="165">
      <c r="A165" s="28">
        <v>161.0</v>
      </c>
      <c r="B165" s="26">
        <v>5.300378871E9</v>
      </c>
      <c r="C165" s="27" t="s">
        <v>549</v>
      </c>
      <c r="D165" s="14" t="str">
        <f>if(countifs(DATABASE!I:I,"Bảo trì",DATABASE!E:E,B165,DATABASE!A:A,"&gt;01/03/2021",DATABASE!A:A,"&lt;01/06/2021")&gt;=1,"Đã bảo trì","")</f>
        <v/>
      </c>
      <c r="E165" s="14" t="str">
        <f>if(countifs(DATABASE!I:I,"Bảo trì",DATABASE!E:E,B165,DATABASE!A:A,"&gt;01/06/2021",DATABASE!A:A,"&lt;01/09/2021")&gt;=1,"Đã bảo trì","")</f>
        <v/>
      </c>
      <c r="F165" s="14">
        <f>countifs(DATABASE!E:E,B165)</f>
        <v>0</v>
      </c>
    </row>
    <row r="166">
      <c r="A166" s="28">
        <v>162.0</v>
      </c>
      <c r="B166" s="26">
        <v>5.300381766E9</v>
      </c>
      <c r="C166" s="27" t="s">
        <v>549</v>
      </c>
      <c r="D166" s="14" t="str">
        <f>if(countifs(DATABASE!I:I,"Bảo trì",DATABASE!E:E,B166,DATABASE!A:A,"&gt;01/03/2021",DATABASE!A:A,"&lt;01/06/2021")&gt;=1,"Đã bảo trì","")</f>
        <v/>
      </c>
      <c r="E166" s="14" t="str">
        <f>if(countifs(DATABASE!I:I,"Bảo trì",DATABASE!E:E,B166,DATABASE!A:A,"&gt;01/06/2021",DATABASE!A:A,"&lt;01/09/2021")&gt;=1,"Đã bảo trì","")</f>
        <v/>
      </c>
      <c r="F166" s="14">
        <f>countifs(DATABASE!E:E,B166)</f>
        <v>0</v>
      </c>
    </row>
    <row r="167">
      <c r="A167" s="25">
        <v>163.0</v>
      </c>
      <c r="B167" s="26">
        <v>5.300378805E9</v>
      </c>
      <c r="C167" s="27" t="s">
        <v>550</v>
      </c>
      <c r="D167" s="14" t="str">
        <f>if(countifs(DATABASE!I:I,"Bảo trì",DATABASE!E:E,B167,DATABASE!A:A,"&gt;01/03/2021",DATABASE!A:A,"&lt;01/06/2021")&gt;=1,"Đã bảo trì","")</f>
        <v/>
      </c>
      <c r="E167" s="14" t="str">
        <f>if(countifs(DATABASE!I:I,"Bảo trì",DATABASE!E:E,B167,DATABASE!A:A,"&gt;01/06/2021",DATABASE!A:A,"&lt;01/09/2021")&gt;=1,"Đã bảo trì","")</f>
        <v/>
      </c>
      <c r="F167" s="14">
        <f>countifs(DATABASE!E:E,B167)</f>
        <v>0</v>
      </c>
    </row>
    <row r="168">
      <c r="A168" s="28">
        <v>164.0</v>
      </c>
      <c r="B168" s="26">
        <v>5.300378851E9</v>
      </c>
      <c r="C168" s="27" t="s">
        <v>551</v>
      </c>
      <c r="D168" s="14" t="str">
        <f>if(countifs(DATABASE!I:I,"Bảo trì",DATABASE!E:E,B168,DATABASE!A:A,"&gt;01/03/2021",DATABASE!A:A,"&lt;01/06/2021")&gt;=1,"Đã bảo trì","")</f>
        <v/>
      </c>
      <c r="E168" s="14" t="str">
        <f>if(countifs(DATABASE!I:I,"Bảo trì",DATABASE!E:E,B168,DATABASE!A:A,"&gt;01/06/2021",DATABASE!A:A,"&lt;01/09/2021")&gt;=1,"Đã bảo trì","")</f>
        <v/>
      </c>
      <c r="F168" s="14">
        <f>countifs(DATABASE!E:E,B168)</f>
        <v>0</v>
      </c>
    </row>
    <row r="169">
      <c r="A169" s="28">
        <v>165.0</v>
      </c>
      <c r="B169" s="26">
        <v>5.300380043E9</v>
      </c>
      <c r="C169" s="27" t="s">
        <v>552</v>
      </c>
      <c r="D169" s="14" t="str">
        <f>if(countifs(DATABASE!I:I,"Bảo trì",DATABASE!E:E,B169,DATABASE!A:A,"&gt;01/03/2021",DATABASE!A:A,"&lt;01/06/2021")&gt;=1,"Đã bảo trì","")</f>
        <v/>
      </c>
      <c r="E169" s="14" t="str">
        <f>if(countifs(DATABASE!I:I,"Bảo trì",DATABASE!E:E,B169,DATABASE!A:A,"&gt;01/06/2021",DATABASE!A:A,"&lt;01/09/2021")&gt;=1,"Đã bảo trì","")</f>
        <v/>
      </c>
      <c r="F169" s="14">
        <f>countifs(DATABASE!E:E,B169)</f>
        <v>0</v>
      </c>
    </row>
    <row r="170">
      <c r="A170" s="25">
        <v>166.0</v>
      </c>
      <c r="B170" s="26">
        <v>5.300380379E9</v>
      </c>
      <c r="C170" s="27" t="s">
        <v>553</v>
      </c>
      <c r="D170" s="14" t="str">
        <f>if(countifs(DATABASE!I:I,"Bảo trì",DATABASE!E:E,B170,DATABASE!A:A,"&gt;01/03/2021",DATABASE!A:A,"&lt;01/06/2021")&gt;=1,"Đã bảo trì","")</f>
        <v/>
      </c>
      <c r="E170" s="14" t="str">
        <f>if(countifs(DATABASE!I:I,"Bảo trì",DATABASE!E:E,B170,DATABASE!A:A,"&gt;01/06/2021",DATABASE!A:A,"&lt;01/09/2021")&gt;=1,"Đã bảo trì","")</f>
        <v/>
      </c>
      <c r="F170" s="14">
        <f>countifs(DATABASE!E:E,B170)</f>
        <v>0</v>
      </c>
    </row>
    <row r="171">
      <c r="A171" s="28">
        <v>167.0</v>
      </c>
      <c r="B171" s="26">
        <v>5.300380387E9</v>
      </c>
      <c r="C171" s="27" t="s">
        <v>554</v>
      </c>
      <c r="D171" s="14" t="str">
        <f>if(countifs(DATABASE!I:I,"Bảo trì",DATABASE!E:E,B171,DATABASE!A:A,"&gt;01/03/2021",DATABASE!A:A,"&lt;01/06/2021")&gt;=1,"Đã bảo trì","")</f>
        <v/>
      </c>
      <c r="E171" s="14" t="str">
        <f>if(countifs(DATABASE!I:I,"Bảo trì",DATABASE!E:E,B171,DATABASE!A:A,"&gt;01/06/2021",DATABASE!A:A,"&lt;01/09/2021")&gt;=1,"Đã bảo trì","")</f>
        <v/>
      </c>
      <c r="F171" s="14">
        <f>countifs(DATABASE!E:E,B171)</f>
        <v>0</v>
      </c>
    </row>
    <row r="172">
      <c r="A172" s="28">
        <v>168.0</v>
      </c>
      <c r="B172" s="26">
        <v>5.300380438E9</v>
      </c>
      <c r="C172" s="27" t="s">
        <v>555</v>
      </c>
      <c r="D172" s="14" t="str">
        <f>if(countifs(DATABASE!I:I,"Bảo trì",DATABASE!E:E,B172,DATABASE!A:A,"&gt;01/03/2021",DATABASE!A:A,"&lt;01/06/2021")&gt;=1,"Đã bảo trì","")</f>
        <v/>
      </c>
      <c r="E172" s="14" t="str">
        <f>if(countifs(DATABASE!I:I,"Bảo trì",DATABASE!E:E,B172,DATABASE!A:A,"&gt;01/06/2021",DATABASE!A:A,"&lt;01/09/2021")&gt;=1,"Đã bảo trì","")</f>
        <v/>
      </c>
      <c r="F172" s="14">
        <f>countifs(DATABASE!E:E,B172)</f>
        <v>0</v>
      </c>
    </row>
    <row r="173">
      <c r="A173" s="25">
        <v>169.0</v>
      </c>
      <c r="B173" s="26">
        <v>5.300380358E9</v>
      </c>
      <c r="C173" s="27" t="s">
        <v>556</v>
      </c>
      <c r="D173" s="14" t="str">
        <f>if(countifs(DATABASE!I:I,"Bảo trì",DATABASE!E:E,B173,DATABASE!A:A,"&gt;01/03/2021",DATABASE!A:A,"&lt;01/06/2021")&gt;=1,"Đã bảo trì","")</f>
        <v/>
      </c>
      <c r="E173" s="14" t="str">
        <f>if(countifs(DATABASE!I:I,"Bảo trì",DATABASE!E:E,B173,DATABASE!A:A,"&gt;01/06/2021",DATABASE!A:A,"&lt;01/09/2021")&gt;=1,"Đã bảo trì","")</f>
        <v/>
      </c>
      <c r="F173" s="14">
        <f>countifs(DATABASE!E:E,B173)</f>
        <v>0</v>
      </c>
    </row>
    <row r="174">
      <c r="A174" s="28">
        <v>170.0</v>
      </c>
      <c r="B174" s="26">
        <v>5.300380578E9</v>
      </c>
      <c r="C174" s="27" t="s">
        <v>557</v>
      </c>
      <c r="D174" s="14" t="str">
        <f>if(countifs(DATABASE!I:I,"Bảo trì",DATABASE!E:E,B174,DATABASE!A:A,"&gt;01/03/2021",DATABASE!A:A,"&lt;01/06/2021")&gt;=1,"Đã bảo trì","")</f>
        <v/>
      </c>
      <c r="E174" s="14" t="str">
        <f>if(countifs(DATABASE!I:I,"Bảo trì",DATABASE!E:E,B174,DATABASE!A:A,"&gt;01/06/2021",DATABASE!A:A,"&lt;01/09/2021")&gt;=1,"Đã bảo trì","")</f>
        <v/>
      </c>
      <c r="F174" s="14">
        <f>countifs(DATABASE!E:E,B174)</f>
        <v>0</v>
      </c>
    </row>
    <row r="175">
      <c r="A175" s="28">
        <v>171.0</v>
      </c>
      <c r="B175" s="26">
        <v>5.300378231E9</v>
      </c>
      <c r="C175" s="27" t="s">
        <v>558</v>
      </c>
      <c r="D175" s="14" t="str">
        <f>if(countifs(DATABASE!I:I,"Bảo trì",DATABASE!E:E,B175,DATABASE!A:A,"&gt;01/03/2021",DATABASE!A:A,"&lt;01/06/2021")&gt;=1,"Đã bảo trì","")</f>
        <v/>
      </c>
      <c r="E175" s="14" t="str">
        <f>if(countifs(DATABASE!I:I,"Bảo trì",DATABASE!E:E,B175,DATABASE!A:A,"&gt;01/06/2021",DATABASE!A:A,"&lt;01/09/2021")&gt;=1,"Đã bảo trì","")</f>
        <v/>
      </c>
      <c r="F175" s="14">
        <f>countifs(DATABASE!E:E,B175)</f>
        <v>0</v>
      </c>
    </row>
    <row r="176">
      <c r="A176" s="25">
        <v>172.0</v>
      </c>
      <c r="B176" s="26">
        <v>5.30037921E9</v>
      </c>
      <c r="C176" s="27" t="s">
        <v>559</v>
      </c>
      <c r="D176" s="14" t="str">
        <f>if(countifs(DATABASE!I:I,"Bảo trì",DATABASE!E:E,B176,DATABASE!A:A,"&gt;01/03/2021",DATABASE!A:A,"&lt;01/06/2021")&gt;=1,"Đã bảo trì","")</f>
        <v/>
      </c>
      <c r="E176" s="14" t="str">
        <f>if(countifs(DATABASE!I:I,"Bảo trì",DATABASE!E:E,B176,DATABASE!A:A,"&gt;01/06/2021",DATABASE!A:A,"&lt;01/09/2021")&gt;=1,"Đã bảo trì","")</f>
        <v/>
      </c>
      <c r="F176" s="14">
        <f>countifs(DATABASE!E:E,B176)</f>
        <v>0</v>
      </c>
    </row>
    <row r="177">
      <c r="A177" s="28">
        <v>173.0</v>
      </c>
      <c r="B177" s="26">
        <v>5.300378551E9</v>
      </c>
      <c r="C177" s="27" t="s">
        <v>560</v>
      </c>
      <c r="D177" s="14" t="str">
        <f>if(countifs(DATABASE!I:I,"Bảo trì",DATABASE!E:E,B177,DATABASE!A:A,"&gt;01/03/2021",DATABASE!A:A,"&lt;01/06/2021")&gt;=1,"Đã bảo trì","")</f>
        <v/>
      </c>
      <c r="E177" s="14" t="str">
        <f>if(countifs(DATABASE!I:I,"Bảo trì",DATABASE!E:E,B177,DATABASE!A:A,"&gt;01/06/2021",DATABASE!A:A,"&lt;01/09/2021")&gt;=1,"Đã bảo trì","")</f>
        <v/>
      </c>
      <c r="F177" s="14">
        <f>countifs(DATABASE!E:E,B177)</f>
        <v>0</v>
      </c>
    </row>
    <row r="178">
      <c r="A178" s="28">
        <v>174.0</v>
      </c>
      <c r="B178" s="26">
        <v>5.300379219E9</v>
      </c>
      <c r="C178" s="27" t="s">
        <v>561</v>
      </c>
      <c r="D178" s="14" t="str">
        <f>if(countifs(DATABASE!I:I,"Bảo trì",DATABASE!E:E,B178,DATABASE!A:A,"&gt;01/03/2021",DATABASE!A:A,"&lt;01/06/2021")&gt;=1,"Đã bảo trì","")</f>
        <v/>
      </c>
      <c r="E178" s="14" t="str">
        <f>if(countifs(DATABASE!I:I,"Bảo trì",DATABASE!E:E,B178,DATABASE!A:A,"&gt;01/06/2021",DATABASE!A:A,"&lt;01/09/2021")&gt;=1,"Đã bảo trì","")</f>
        <v/>
      </c>
      <c r="F178" s="14">
        <f>countifs(DATABASE!E:E,B178)</f>
        <v>0</v>
      </c>
    </row>
    <row r="179">
      <c r="A179" s="25">
        <v>175.0</v>
      </c>
      <c r="B179" s="26">
        <v>5.300379058E9</v>
      </c>
      <c r="C179" s="27" t="s">
        <v>562</v>
      </c>
      <c r="D179" s="14" t="str">
        <f>if(countifs(DATABASE!I:I,"Bảo trì",DATABASE!E:E,B179,DATABASE!A:A,"&gt;01/03/2021",DATABASE!A:A,"&lt;01/06/2021")&gt;=1,"Đã bảo trì","")</f>
        <v/>
      </c>
      <c r="E179" s="14" t="str">
        <f>if(countifs(DATABASE!I:I,"Bảo trì",DATABASE!E:E,B179,DATABASE!A:A,"&gt;01/06/2021",DATABASE!A:A,"&lt;01/09/2021")&gt;=1,"Đã bảo trì","")</f>
        <v/>
      </c>
      <c r="F179" s="14">
        <f>countifs(DATABASE!E:E,B179)</f>
        <v>0</v>
      </c>
    </row>
    <row r="180">
      <c r="A180" s="28">
        <v>176.0</v>
      </c>
      <c r="B180" s="26">
        <v>5.300377181E9</v>
      </c>
      <c r="C180" s="27" t="s">
        <v>563</v>
      </c>
      <c r="D180" s="14" t="str">
        <f>if(countifs(DATABASE!I:I,"Bảo trì",DATABASE!E:E,B180,DATABASE!A:A,"&gt;01/03/2021",DATABASE!A:A,"&lt;01/06/2021")&gt;=1,"Đã bảo trì","")</f>
        <v/>
      </c>
      <c r="E180" s="14" t="str">
        <f>if(countifs(DATABASE!I:I,"Bảo trì",DATABASE!E:E,B180,DATABASE!A:A,"&gt;01/06/2021",DATABASE!A:A,"&lt;01/09/2021")&gt;=1,"Đã bảo trì","")</f>
        <v/>
      </c>
      <c r="F180" s="14">
        <f>countifs(DATABASE!E:E,B180)</f>
        <v>0</v>
      </c>
    </row>
    <row r="181">
      <c r="A181" s="28">
        <v>177.0</v>
      </c>
      <c r="B181" s="26">
        <v>5.30038051E9</v>
      </c>
      <c r="C181" s="27" t="s">
        <v>564</v>
      </c>
      <c r="D181" s="14" t="str">
        <f>if(countifs(DATABASE!I:I,"Bảo trì",DATABASE!E:E,B181,DATABASE!A:A,"&gt;01/03/2021",DATABASE!A:A,"&lt;01/06/2021")&gt;=1,"Đã bảo trì","")</f>
        <v/>
      </c>
      <c r="E181" s="14" t="str">
        <f>if(countifs(DATABASE!I:I,"Bảo trì",DATABASE!E:E,B181,DATABASE!A:A,"&gt;01/06/2021",DATABASE!A:A,"&lt;01/09/2021")&gt;=1,"Đã bảo trì","")</f>
        <v/>
      </c>
      <c r="F181" s="14">
        <f>countifs(DATABASE!E:E,B181)</f>
        <v>0</v>
      </c>
    </row>
    <row r="182">
      <c r="A182" s="25">
        <v>178.0</v>
      </c>
      <c r="B182" s="26">
        <v>5.300379198E9</v>
      </c>
      <c r="C182" s="27" t="s">
        <v>565</v>
      </c>
      <c r="D182" s="14" t="str">
        <f>if(countifs(DATABASE!I:I,"Bảo trì",DATABASE!E:E,B182,DATABASE!A:A,"&gt;01/03/2021",DATABASE!A:A,"&lt;01/06/2021")&gt;=1,"Đã bảo trì","")</f>
        <v/>
      </c>
      <c r="E182" s="14" t="str">
        <f>if(countifs(DATABASE!I:I,"Bảo trì",DATABASE!E:E,B182,DATABASE!A:A,"&gt;01/06/2021",DATABASE!A:A,"&lt;01/09/2021")&gt;=1,"Đã bảo trì","")</f>
        <v/>
      </c>
      <c r="F182" s="14">
        <f>countifs(DATABASE!E:E,B182)</f>
        <v>0</v>
      </c>
    </row>
    <row r="183">
      <c r="A183" s="28">
        <v>179.0</v>
      </c>
      <c r="B183" s="26">
        <v>5.300378825E9</v>
      </c>
      <c r="C183" s="27" t="s">
        <v>566</v>
      </c>
      <c r="D183" s="14" t="str">
        <f>if(countifs(DATABASE!I:I,"Bảo trì",DATABASE!E:E,B183,DATABASE!A:A,"&gt;01/03/2021",DATABASE!A:A,"&lt;01/06/2021")&gt;=1,"Đã bảo trì","")</f>
        <v/>
      </c>
      <c r="E183" s="14" t="str">
        <f>if(countifs(DATABASE!I:I,"Bảo trì",DATABASE!E:E,B183,DATABASE!A:A,"&gt;01/06/2021",DATABASE!A:A,"&lt;01/09/2021")&gt;=1,"Đã bảo trì","")</f>
        <v/>
      </c>
      <c r="F183" s="14">
        <f>countifs(DATABASE!E:E,B183)</f>
        <v>0</v>
      </c>
    </row>
    <row r="184">
      <c r="A184" s="28">
        <v>180.0</v>
      </c>
      <c r="B184" s="26">
        <v>5.300380907E9</v>
      </c>
      <c r="C184" s="27" t="s">
        <v>567</v>
      </c>
      <c r="D184" s="14" t="str">
        <f>if(countifs(DATABASE!I:I,"Bảo trì",DATABASE!E:E,B184,DATABASE!A:A,"&gt;01/03/2021",DATABASE!A:A,"&lt;01/06/2021")&gt;=1,"Đã bảo trì","")</f>
        <v/>
      </c>
      <c r="E184" s="14" t="str">
        <f>if(countifs(DATABASE!I:I,"Bảo trì",DATABASE!E:E,B184,DATABASE!A:A,"&gt;01/06/2021",DATABASE!A:A,"&lt;01/09/2021")&gt;=1,"Đã bảo trì","")</f>
        <v/>
      </c>
      <c r="F184" s="14">
        <f>countifs(DATABASE!E:E,B184)</f>
        <v>0</v>
      </c>
    </row>
    <row r="185">
      <c r="A185" s="25">
        <v>181.0</v>
      </c>
      <c r="B185" s="26">
        <v>5.300378859E9</v>
      </c>
      <c r="C185" s="27" t="s">
        <v>568</v>
      </c>
      <c r="D185" s="14" t="str">
        <f>if(countifs(DATABASE!I:I,"Bảo trì",DATABASE!E:E,B185,DATABASE!A:A,"&gt;01/03/2021",DATABASE!A:A,"&lt;01/06/2021")&gt;=1,"Đã bảo trì","")</f>
        <v/>
      </c>
      <c r="E185" s="14" t="str">
        <f>if(countifs(DATABASE!I:I,"Bảo trì",DATABASE!E:E,B185,DATABASE!A:A,"&gt;01/06/2021",DATABASE!A:A,"&lt;01/09/2021")&gt;=1,"Đã bảo trì","")</f>
        <v/>
      </c>
      <c r="F185" s="14">
        <f>countifs(DATABASE!E:E,B185)</f>
        <v>0</v>
      </c>
    </row>
    <row r="186">
      <c r="A186" s="28">
        <v>182.0</v>
      </c>
      <c r="B186" s="26">
        <v>5.300377162E9</v>
      </c>
      <c r="C186" s="27" t="s">
        <v>569</v>
      </c>
      <c r="D186" s="14" t="str">
        <f>if(countifs(DATABASE!I:I,"Bảo trì",DATABASE!E:E,B186,DATABASE!A:A,"&gt;01/03/2021",DATABASE!A:A,"&lt;01/06/2021")&gt;=1,"Đã bảo trì","")</f>
        <v/>
      </c>
      <c r="E186" s="14" t="str">
        <f>if(countifs(DATABASE!I:I,"Bảo trì",DATABASE!E:E,B186,DATABASE!A:A,"&gt;01/06/2021",DATABASE!A:A,"&lt;01/09/2021")&gt;=1,"Đã bảo trì","")</f>
        <v/>
      </c>
      <c r="F186" s="14">
        <f>countifs(DATABASE!E:E,B186)</f>
        <v>0</v>
      </c>
    </row>
    <row r="187">
      <c r="A187" s="28">
        <v>183.0</v>
      </c>
      <c r="B187" s="26">
        <v>5.300378945E9</v>
      </c>
      <c r="C187" s="27" t="s">
        <v>570</v>
      </c>
      <c r="D187" s="14" t="str">
        <f>if(countifs(DATABASE!I:I,"Bảo trì",DATABASE!E:E,B187,DATABASE!A:A,"&gt;01/03/2021",DATABASE!A:A,"&lt;01/06/2021")&gt;=1,"Đã bảo trì","")</f>
        <v/>
      </c>
      <c r="E187" s="14" t="str">
        <f>if(countifs(DATABASE!I:I,"Bảo trì",DATABASE!E:E,B187,DATABASE!A:A,"&gt;01/06/2021",DATABASE!A:A,"&lt;01/09/2021")&gt;=1,"Đã bảo trì","")</f>
        <v/>
      </c>
      <c r="F187" s="14">
        <f>countifs(DATABASE!E:E,B187)</f>
        <v>0</v>
      </c>
    </row>
    <row r="188">
      <c r="A188" s="25">
        <v>184.0</v>
      </c>
      <c r="B188" s="26">
        <v>5.300380332E9</v>
      </c>
      <c r="C188" s="27" t="s">
        <v>571</v>
      </c>
      <c r="D188" s="14" t="str">
        <f>if(countifs(DATABASE!I:I,"Bảo trì",DATABASE!E:E,B188,DATABASE!A:A,"&gt;01/03/2021",DATABASE!A:A,"&lt;01/06/2021")&gt;=1,"Đã bảo trì","")</f>
        <v/>
      </c>
      <c r="E188" s="14" t="str">
        <f>if(countifs(DATABASE!I:I,"Bảo trì",DATABASE!E:E,B188,DATABASE!A:A,"&gt;01/06/2021",DATABASE!A:A,"&lt;01/09/2021")&gt;=1,"Đã bảo trì","")</f>
        <v/>
      </c>
      <c r="F188" s="14">
        <f>countifs(DATABASE!E:E,B188)</f>
        <v>0</v>
      </c>
    </row>
    <row r="189">
      <c r="A189" s="28">
        <v>185.0</v>
      </c>
      <c r="B189" s="26">
        <v>5.300380391E9</v>
      </c>
      <c r="C189" s="27" t="s">
        <v>572</v>
      </c>
      <c r="D189" s="14" t="str">
        <f>if(countifs(DATABASE!I:I,"Bảo trì",DATABASE!E:E,B189,DATABASE!A:A,"&gt;01/03/2021",DATABASE!A:A,"&lt;01/06/2021")&gt;=1,"Đã bảo trì","")</f>
        <v/>
      </c>
      <c r="E189" s="14" t="str">
        <f>if(countifs(DATABASE!I:I,"Bảo trì",DATABASE!E:E,B189,DATABASE!A:A,"&gt;01/06/2021",DATABASE!A:A,"&lt;01/09/2021")&gt;=1,"Đã bảo trì","")</f>
        <v/>
      </c>
      <c r="F189" s="14">
        <f>countifs(DATABASE!E:E,B189)</f>
        <v>0</v>
      </c>
    </row>
    <row r="190">
      <c r="A190" s="28">
        <v>186.0</v>
      </c>
      <c r="B190" s="26">
        <v>5.300378309E9</v>
      </c>
      <c r="C190" s="27" t="s">
        <v>573</v>
      </c>
      <c r="D190" s="14" t="str">
        <f>if(countifs(DATABASE!I:I,"Bảo trì",DATABASE!E:E,B190,DATABASE!A:A,"&gt;01/03/2021",DATABASE!A:A,"&lt;01/06/2021")&gt;=1,"Đã bảo trì","")</f>
        <v/>
      </c>
      <c r="E190" s="14" t="str">
        <f>if(countifs(DATABASE!I:I,"Bảo trì",DATABASE!E:E,B190,DATABASE!A:A,"&gt;01/06/2021",DATABASE!A:A,"&lt;01/09/2021")&gt;=1,"Đã bảo trì","")</f>
        <v/>
      </c>
      <c r="F190" s="14">
        <f>countifs(DATABASE!E:E,B190)</f>
        <v>0</v>
      </c>
    </row>
    <row r="191">
      <c r="A191" s="25">
        <v>187.0</v>
      </c>
      <c r="B191" s="26">
        <v>5.300378866E9</v>
      </c>
      <c r="C191" s="27" t="s">
        <v>574</v>
      </c>
      <c r="D191" s="14" t="str">
        <f>if(countifs(DATABASE!I:I,"Bảo trì",DATABASE!E:E,B191,DATABASE!A:A,"&gt;01/03/2021",DATABASE!A:A,"&lt;01/06/2021")&gt;=1,"Đã bảo trì","")</f>
        <v/>
      </c>
      <c r="E191" s="14" t="str">
        <f>if(countifs(DATABASE!I:I,"Bảo trì",DATABASE!E:E,B191,DATABASE!A:A,"&gt;01/06/2021",DATABASE!A:A,"&lt;01/09/2021")&gt;=1,"Đã bảo trì","")</f>
        <v/>
      </c>
      <c r="F191" s="14">
        <f>countifs(DATABASE!E:E,B191)</f>
        <v>0</v>
      </c>
    </row>
    <row r="192">
      <c r="A192" s="28">
        <v>188.0</v>
      </c>
      <c r="B192" s="26">
        <v>5.300378512E9</v>
      </c>
      <c r="C192" s="27" t="s">
        <v>575</v>
      </c>
      <c r="D192" s="14" t="str">
        <f>if(countifs(DATABASE!I:I,"Bảo trì",DATABASE!E:E,B192,DATABASE!A:A,"&gt;01/03/2021",DATABASE!A:A,"&lt;01/06/2021")&gt;=1,"Đã bảo trì","")</f>
        <v/>
      </c>
      <c r="E192" s="14" t="str">
        <f>if(countifs(DATABASE!I:I,"Bảo trì",DATABASE!E:E,B192,DATABASE!A:A,"&gt;01/06/2021",DATABASE!A:A,"&lt;01/09/2021")&gt;=1,"Đã bảo trì","")</f>
        <v/>
      </c>
      <c r="F192" s="14">
        <f>countifs(DATABASE!E:E,B192)</f>
        <v>0</v>
      </c>
    </row>
    <row r="193">
      <c r="A193" s="28">
        <v>189.0</v>
      </c>
      <c r="B193" s="26">
        <v>5.30037884E9</v>
      </c>
      <c r="C193" s="27" t="s">
        <v>576</v>
      </c>
      <c r="D193" s="14" t="str">
        <f>if(countifs(DATABASE!I:I,"Bảo trì",DATABASE!E:E,B193,DATABASE!A:A,"&gt;01/03/2021",DATABASE!A:A,"&lt;01/06/2021")&gt;=1,"Đã bảo trì","")</f>
        <v/>
      </c>
      <c r="E193" s="14" t="str">
        <f>if(countifs(DATABASE!I:I,"Bảo trì",DATABASE!E:E,B193,DATABASE!A:A,"&gt;01/06/2021",DATABASE!A:A,"&lt;01/09/2021")&gt;=1,"Đã bảo trì","")</f>
        <v/>
      </c>
      <c r="F193" s="14">
        <f>countifs(DATABASE!E:E,B193)</f>
        <v>0</v>
      </c>
    </row>
    <row r="194">
      <c r="A194" s="25">
        <v>190.0</v>
      </c>
      <c r="B194" s="26">
        <v>5.300378904E9</v>
      </c>
      <c r="C194" s="27" t="s">
        <v>577</v>
      </c>
      <c r="D194" s="14" t="str">
        <f>if(countifs(DATABASE!I:I,"Bảo trì",DATABASE!E:E,B194,DATABASE!A:A,"&gt;01/03/2021",DATABASE!A:A,"&lt;01/06/2021")&gt;=1,"Đã bảo trì","")</f>
        <v/>
      </c>
      <c r="E194" s="14" t="str">
        <f>if(countifs(DATABASE!I:I,"Bảo trì",DATABASE!E:E,B194,DATABASE!A:A,"&gt;01/06/2021",DATABASE!A:A,"&lt;01/09/2021")&gt;=1,"Đã bảo trì","")</f>
        <v/>
      </c>
      <c r="F194" s="14">
        <f>countifs(DATABASE!E:E,B194)</f>
        <v>0</v>
      </c>
    </row>
    <row r="195">
      <c r="A195" s="28">
        <v>191.0</v>
      </c>
      <c r="B195" s="26">
        <v>5.300378331E9</v>
      </c>
      <c r="C195" s="27" t="s">
        <v>578</v>
      </c>
      <c r="D195" s="14" t="str">
        <f>if(countifs(DATABASE!I:I,"Bảo trì",DATABASE!E:E,B195,DATABASE!A:A,"&gt;01/03/2021",DATABASE!A:A,"&lt;01/06/2021")&gt;=1,"Đã bảo trì","")</f>
        <v/>
      </c>
      <c r="E195" s="14" t="str">
        <f>if(countifs(DATABASE!I:I,"Bảo trì",DATABASE!E:E,B195,DATABASE!A:A,"&gt;01/06/2021",DATABASE!A:A,"&lt;01/09/2021")&gt;=1,"Đã bảo trì","")</f>
        <v/>
      </c>
      <c r="F195" s="14">
        <f>countifs(DATABASE!E:E,B195)</f>
        <v>0</v>
      </c>
    </row>
    <row r="196">
      <c r="A196" s="28">
        <v>192.0</v>
      </c>
      <c r="B196" s="26">
        <v>5.300377942E9</v>
      </c>
      <c r="C196" s="27" t="s">
        <v>579</v>
      </c>
      <c r="D196" s="14" t="str">
        <f>if(countifs(DATABASE!I:I,"Bảo trì",DATABASE!E:E,B196,DATABASE!A:A,"&gt;01/03/2021",DATABASE!A:A,"&lt;01/06/2021")&gt;=1,"Đã bảo trì","")</f>
        <v/>
      </c>
      <c r="E196" s="14" t="str">
        <f>if(countifs(DATABASE!I:I,"Bảo trì",DATABASE!E:E,B196,DATABASE!A:A,"&gt;01/06/2021",DATABASE!A:A,"&lt;01/09/2021")&gt;=1,"Đã bảo trì","")</f>
        <v/>
      </c>
      <c r="F196" s="14">
        <f>countifs(DATABASE!E:E,B196)</f>
        <v>0</v>
      </c>
    </row>
    <row r="197">
      <c r="A197" s="25">
        <v>193.0</v>
      </c>
      <c r="B197" s="26">
        <v>5.300379251E9</v>
      </c>
      <c r="C197" s="27" t="s">
        <v>580</v>
      </c>
      <c r="D197" s="14" t="str">
        <f>if(countifs(DATABASE!I:I,"Bảo trì",DATABASE!E:E,B197,DATABASE!A:A,"&gt;01/03/2021",DATABASE!A:A,"&lt;01/06/2021")&gt;=1,"Đã bảo trì","")</f>
        <v/>
      </c>
      <c r="E197" s="14" t="str">
        <f>if(countifs(DATABASE!I:I,"Bảo trì",DATABASE!E:E,B197,DATABASE!A:A,"&gt;01/06/2021",DATABASE!A:A,"&lt;01/09/2021")&gt;=1,"Đã bảo trì","")</f>
        <v/>
      </c>
      <c r="F197" s="14">
        <f>countifs(DATABASE!E:E,B197)</f>
        <v>0</v>
      </c>
    </row>
    <row r="198">
      <c r="A198" s="28">
        <v>194.0</v>
      </c>
      <c r="B198" s="26">
        <v>5.300378885E9</v>
      </c>
      <c r="C198" s="27" t="s">
        <v>581</v>
      </c>
      <c r="D198" s="14" t="str">
        <f>if(countifs(DATABASE!I:I,"Bảo trì",DATABASE!E:E,B198,DATABASE!A:A,"&gt;01/03/2021",DATABASE!A:A,"&lt;01/06/2021")&gt;=1,"Đã bảo trì","")</f>
        <v/>
      </c>
      <c r="E198" s="14" t="str">
        <f>if(countifs(DATABASE!I:I,"Bảo trì",DATABASE!E:E,B198,DATABASE!A:A,"&gt;01/06/2021",DATABASE!A:A,"&lt;01/09/2021")&gt;=1,"Đã bảo trì","")</f>
        <v/>
      </c>
      <c r="F198" s="14">
        <f>countifs(DATABASE!E:E,B198)</f>
        <v>0</v>
      </c>
    </row>
    <row r="199">
      <c r="A199" s="28">
        <v>195.0</v>
      </c>
      <c r="B199" s="26">
        <v>5.300378016E9</v>
      </c>
      <c r="C199" s="27" t="s">
        <v>582</v>
      </c>
      <c r="D199" s="14" t="str">
        <f>if(countifs(DATABASE!I:I,"Bảo trì",DATABASE!E:E,B199,DATABASE!A:A,"&gt;01/03/2021",DATABASE!A:A,"&lt;01/06/2021")&gt;=1,"Đã bảo trì","")</f>
        <v/>
      </c>
      <c r="E199" s="14" t="str">
        <f>if(countifs(DATABASE!I:I,"Bảo trì",DATABASE!E:E,B199,DATABASE!A:A,"&gt;01/06/2021",DATABASE!A:A,"&lt;01/09/2021")&gt;=1,"Đã bảo trì","")</f>
        <v/>
      </c>
      <c r="F199" s="14">
        <f>countifs(DATABASE!E:E,B199)</f>
        <v>0</v>
      </c>
    </row>
    <row r="200">
      <c r="A200" s="25">
        <v>196.0</v>
      </c>
      <c r="B200" s="26">
        <v>5.300378809E9</v>
      </c>
      <c r="C200" s="27" t="s">
        <v>583</v>
      </c>
      <c r="D200" s="14" t="str">
        <f>if(countifs(DATABASE!I:I,"Bảo trì",DATABASE!E:E,B200,DATABASE!A:A,"&gt;01/03/2021",DATABASE!A:A,"&lt;01/06/2021")&gt;=1,"Đã bảo trì","")</f>
        <v/>
      </c>
      <c r="E200" s="14" t="str">
        <f>if(countifs(DATABASE!I:I,"Bảo trì",DATABASE!E:E,B200,DATABASE!A:A,"&gt;01/06/2021",DATABASE!A:A,"&lt;01/09/2021")&gt;=1,"Đã bảo trì","")</f>
        <v/>
      </c>
      <c r="F200" s="14">
        <f>countifs(DATABASE!E:E,B200)</f>
        <v>0</v>
      </c>
    </row>
    <row r="201">
      <c r="A201" s="28">
        <v>197.0</v>
      </c>
      <c r="B201" s="26">
        <v>5.300378547E9</v>
      </c>
      <c r="C201" s="27" t="s">
        <v>584</v>
      </c>
      <c r="D201" s="14" t="str">
        <f>if(countifs(DATABASE!I:I,"Bảo trì",DATABASE!E:E,B201,DATABASE!A:A,"&gt;01/03/2021",DATABASE!A:A,"&lt;01/06/2021")&gt;=1,"Đã bảo trì","")</f>
        <v/>
      </c>
      <c r="E201" s="14" t="str">
        <f>if(countifs(DATABASE!I:I,"Bảo trì",DATABASE!E:E,B201,DATABASE!A:A,"&gt;01/06/2021",DATABASE!A:A,"&lt;01/09/2021")&gt;=1,"Đã bảo trì","")</f>
        <v/>
      </c>
      <c r="F201" s="14">
        <f>countifs(DATABASE!E:E,B201)</f>
        <v>0</v>
      </c>
    </row>
    <row r="202">
      <c r="A202" s="28">
        <v>198.0</v>
      </c>
      <c r="B202" s="26">
        <v>5.300377965E9</v>
      </c>
      <c r="C202" s="27" t="s">
        <v>585</v>
      </c>
      <c r="D202" s="14" t="str">
        <f>if(countifs(DATABASE!I:I,"Bảo trì",DATABASE!E:E,B202,DATABASE!A:A,"&gt;01/03/2021",DATABASE!A:A,"&lt;01/06/2021")&gt;=1,"Đã bảo trì","")</f>
        <v/>
      </c>
      <c r="E202" s="14" t="str">
        <f>if(countifs(DATABASE!I:I,"Bảo trì",DATABASE!E:E,B202,DATABASE!A:A,"&gt;01/06/2021",DATABASE!A:A,"&lt;01/09/2021")&gt;=1,"Đã bảo trì","")</f>
        <v/>
      </c>
      <c r="F202" s="14">
        <f>countifs(DATABASE!E:E,B202)</f>
        <v>0</v>
      </c>
    </row>
    <row r="203">
      <c r="A203" s="25">
        <v>199.0</v>
      </c>
      <c r="B203" s="26">
        <v>5.300378298E9</v>
      </c>
      <c r="C203" s="27" t="s">
        <v>586</v>
      </c>
      <c r="D203" s="14" t="str">
        <f>if(countifs(DATABASE!I:I,"Bảo trì",DATABASE!E:E,B203,DATABASE!A:A,"&gt;01/03/2021",DATABASE!A:A,"&lt;01/06/2021")&gt;=1,"Đã bảo trì","")</f>
        <v/>
      </c>
      <c r="E203" s="14" t="str">
        <f>if(countifs(DATABASE!I:I,"Bảo trì",DATABASE!E:E,B203,DATABASE!A:A,"&gt;01/06/2021",DATABASE!A:A,"&lt;01/09/2021")&gt;=1,"Đã bảo trì","")</f>
        <v/>
      </c>
      <c r="F203" s="14">
        <f>countifs(DATABASE!E:E,B203)</f>
        <v>0</v>
      </c>
    </row>
    <row r="204">
      <c r="A204" s="28">
        <v>200.0</v>
      </c>
      <c r="B204" s="26">
        <v>5.300380406E9</v>
      </c>
      <c r="C204" s="27" t="s">
        <v>587</v>
      </c>
      <c r="D204" s="14" t="str">
        <f>if(countifs(DATABASE!I:I,"Bảo trì",DATABASE!E:E,B204,DATABASE!A:A,"&gt;01/03/2021",DATABASE!A:A,"&lt;01/06/2021")&gt;=1,"Đã bảo trì","")</f>
        <v/>
      </c>
      <c r="E204" s="14" t="str">
        <f>if(countifs(DATABASE!I:I,"Bảo trì",DATABASE!E:E,B204,DATABASE!A:A,"&gt;01/06/2021",DATABASE!A:A,"&lt;01/09/2021")&gt;=1,"Đã bảo trì","")</f>
        <v/>
      </c>
      <c r="F204" s="14">
        <f>countifs(DATABASE!E:E,B204)</f>
        <v>0</v>
      </c>
    </row>
    <row r="205">
      <c r="A205" s="21"/>
      <c r="C205" s="32"/>
    </row>
    <row r="206">
      <c r="A206" s="21"/>
      <c r="C206" s="32"/>
    </row>
    <row r="207">
      <c r="A207" s="21"/>
      <c r="C207" s="32"/>
    </row>
    <row r="208">
      <c r="A208" s="21"/>
      <c r="C208" s="32"/>
    </row>
    <row r="209">
      <c r="A209" s="21"/>
      <c r="C209" s="32"/>
    </row>
    <row r="210">
      <c r="A210" s="21"/>
      <c r="C210" s="32"/>
    </row>
    <row r="211">
      <c r="A211" s="21"/>
      <c r="C211" s="32"/>
    </row>
    <row r="212">
      <c r="A212" s="21"/>
      <c r="C212" s="32"/>
    </row>
    <row r="213">
      <c r="A213" s="21"/>
      <c r="C213" s="32"/>
    </row>
    <row r="214">
      <c r="A214" s="21"/>
      <c r="C214" s="32"/>
    </row>
    <row r="215">
      <c r="A215" s="21"/>
      <c r="C215" s="32"/>
    </row>
    <row r="216">
      <c r="A216" s="21"/>
      <c r="C216" s="32"/>
    </row>
    <row r="217">
      <c r="A217" s="21"/>
      <c r="C217" s="32"/>
    </row>
    <row r="218">
      <c r="A218" s="21"/>
      <c r="C218" s="32"/>
    </row>
    <row r="219">
      <c r="A219" s="21"/>
      <c r="C219" s="32"/>
    </row>
    <row r="220">
      <c r="A220" s="21"/>
      <c r="C220" s="32"/>
    </row>
    <row r="221">
      <c r="A221" s="21"/>
      <c r="C221" s="32"/>
    </row>
    <row r="222">
      <c r="A222" s="21"/>
      <c r="C222" s="32"/>
    </row>
    <row r="223">
      <c r="A223" s="21"/>
      <c r="C223" s="32"/>
    </row>
    <row r="224">
      <c r="A224" s="21"/>
      <c r="C224" s="32"/>
    </row>
    <row r="225">
      <c r="A225" s="21"/>
      <c r="C225" s="32"/>
    </row>
    <row r="226">
      <c r="A226" s="21"/>
      <c r="C226" s="32"/>
    </row>
    <row r="227">
      <c r="A227" s="21"/>
      <c r="C227" s="32"/>
    </row>
    <row r="228">
      <c r="A228" s="21"/>
      <c r="C228" s="32"/>
    </row>
    <row r="229">
      <c r="A229" s="21"/>
      <c r="C229" s="32"/>
    </row>
    <row r="230">
      <c r="A230" s="21"/>
      <c r="C230" s="32"/>
    </row>
    <row r="231">
      <c r="A231" s="21"/>
      <c r="C231" s="32"/>
    </row>
    <row r="232">
      <c r="A232" s="21"/>
      <c r="C232" s="32"/>
    </row>
    <row r="233">
      <c r="A233" s="21"/>
      <c r="C233" s="32"/>
    </row>
    <row r="234">
      <c r="A234" s="21"/>
      <c r="C234" s="32"/>
    </row>
    <row r="235">
      <c r="A235" s="21"/>
      <c r="C235" s="32"/>
    </row>
    <row r="236">
      <c r="A236" s="21"/>
      <c r="C236" s="32"/>
    </row>
    <row r="237">
      <c r="A237" s="21"/>
      <c r="C237" s="32"/>
    </row>
    <row r="238">
      <c r="A238" s="21"/>
      <c r="C238" s="32"/>
    </row>
    <row r="239">
      <c r="A239" s="21"/>
      <c r="C239" s="32"/>
    </row>
    <row r="240">
      <c r="A240" s="21"/>
      <c r="C240" s="32"/>
    </row>
    <row r="241">
      <c r="A241" s="21"/>
      <c r="C241" s="32"/>
    </row>
    <row r="242">
      <c r="A242" s="21"/>
      <c r="C242" s="32"/>
    </row>
    <row r="243">
      <c r="A243" s="21"/>
      <c r="C243" s="32"/>
    </row>
    <row r="244">
      <c r="A244" s="21"/>
      <c r="C244" s="32"/>
    </row>
    <row r="245">
      <c r="A245" s="21"/>
      <c r="C245" s="32"/>
    </row>
    <row r="246">
      <c r="A246" s="21"/>
      <c r="C246" s="32"/>
    </row>
    <row r="247">
      <c r="A247" s="21"/>
      <c r="C247" s="32"/>
    </row>
    <row r="248">
      <c r="A248" s="21"/>
      <c r="C248" s="32"/>
    </row>
    <row r="249">
      <c r="A249" s="21"/>
      <c r="C249" s="32"/>
    </row>
    <row r="250">
      <c r="A250" s="21"/>
      <c r="C250" s="32"/>
    </row>
    <row r="251">
      <c r="A251" s="21"/>
      <c r="C251" s="32"/>
    </row>
    <row r="252">
      <c r="A252" s="21"/>
      <c r="C252" s="32"/>
    </row>
    <row r="253">
      <c r="A253" s="21"/>
      <c r="C253" s="32"/>
    </row>
    <row r="254">
      <c r="A254" s="21"/>
      <c r="C254" s="32"/>
    </row>
    <row r="255">
      <c r="A255" s="21"/>
      <c r="C255" s="32"/>
    </row>
    <row r="256">
      <c r="A256" s="21"/>
      <c r="C256" s="32"/>
    </row>
    <row r="257">
      <c r="A257" s="21"/>
      <c r="C257" s="32"/>
    </row>
    <row r="258">
      <c r="A258" s="21"/>
      <c r="C258" s="32"/>
    </row>
    <row r="259">
      <c r="A259" s="21"/>
      <c r="C259" s="32"/>
    </row>
    <row r="260">
      <c r="A260" s="21"/>
      <c r="C260" s="32"/>
    </row>
    <row r="261">
      <c r="A261" s="21"/>
      <c r="C261" s="32"/>
    </row>
    <row r="262">
      <c r="A262" s="21"/>
      <c r="C262" s="32"/>
    </row>
    <row r="263">
      <c r="A263" s="21"/>
      <c r="C263" s="32"/>
    </row>
    <row r="264">
      <c r="A264" s="21"/>
      <c r="C264" s="32"/>
    </row>
    <row r="265">
      <c r="A265" s="21"/>
      <c r="C265" s="32"/>
    </row>
    <row r="266">
      <c r="A266" s="21"/>
      <c r="C266" s="32"/>
    </row>
    <row r="267">
      <c r="A267" s="21"/>
      <c r="C267" s="32"/>
    </row>
    <row r="268">
      <c r="A268" s="21"/>
      <c r="C268" s="32"/>
    </row>
    <row r="269">
      <c r="A269" s="21"/>
      <c r="C269" s="32"/>
    </row>
    <row r="270">
      <c r="A270" s="21"/>
      <c r="C270" s="32"/>
    </row>
    <row r="271">
      <c r="A271" s="21"/>
      <c r="C271" s="32"/>
    </row>
    <row r="272">
      <c r="A272" s="21"/>
      <c r="C272" s="32"/>
    </row>
    <row r="273">
      <c r="A273" s="21"/>
      <c r="C273" s="32"/>
    </row>
    <row r="274">
      <c r="A274" s="21"/>
      <c r="C274" s="32"/>
    </row>
    <row r="275">
      <c r="A275" s="21"/>
      <c r="C275" s="32"/>
    </row>
    <row r="276">
      <c r="A276" s="21"/>
      <c r="C276" s="32"/>
    </row>
    <row r="277">
      <c r="A277" s="21"/>
      <c r="C277" s="32"/>
    </row>
    <row r="278">
      <c r="A278" s="21"/>
      <c r="C278" s="32"/>
    </row>
    <row r="279">
      <c r="A279" s="21"/>
      <c r="C279" s="32"/>
    </row>
    <row r="280">
      <c r="A280" s="21"/>
      <c r="C280" s="32"/>
    </row>
    <row r="281">
      <c r="A281" s="21"/>
      <c r="C281" s="32"/>
    </row>
    <row r="282">
      <c r="A282" s="21"/>
      <c r="C282" s="32"/>
    </row>
    <row r="283">
      <c r="A283" s="21"/>
      <c r="C283" s="32"/>
    </row>
    <row r="284">
      <c r="A284" s="21"/>
      <c r="C284" s="32"/>
    </row>
    <row r="285">
      <c r="A285" s="21"/>
      <c r="C285" s="32"/>
    </row>
    <row r="286">
      <c r="A286" s="21"/>
      <c r="C286" s="32"/>
    </row>
    <row r="287">
      <c r="A287" s="21"/>
      <c r="C287" s="32"/>
    </row>
    <row r="288">
      <c r="A288" s="21"/>
      <c r="C288" s="32"/>
    </row>
    <row r="289">
      <c r="A289" s="21"/>
      <c r="C289" s="32"/>
    </row>
    <row r="290">
      <c r="A290" s="21"/>
      <c r="C290" s="32"/>
    </row>
    <row r="291">
      <c r="A291" s="21"/>
      <c r="C291" s="32"/>
    </row>
    <row r="292">
      <c r="A292" s="21"/>
      <c r="C292" s="32"/>
    </row>
    <row r="293">
      <c r="A293" s="21"/>
      <c r="C293" s="32"/>
    </row>
    <row r="294">
      <c r="A294" s="21"/>
      <c r="C294" s="32"/>
    </row>
    <row r="295">
      <c r="A295" s="21"/>
      <c r="C295" s="32"/>
    </row>
    <row r="296">
      <c r="A296" s="21"/>
      <c r="C296" s="32"/>
    </row>
    <row r="297">
      <c r="A297" s="21"/>
      <c r="C297" s="32"/>
    </row>
    <row r="298">
      <c r="A298" s="21"/>
      <c r="C298" s="32"/>
    </row>
    <row r="299">
      <c r="A299" s="21"/>
      <c r="C299" s="32"/>
    </row>
    <row r="300">
      <c r="A300" s="21"/>
      <c r="C300" s="32"/>
    </row>
    <row r="301">
      <c r="A301" s="21"/>
      <c r="C301" s="32"/>
    </row>
    <row r="302">
      <c r="A302" s="21"/>
      <c r="C302" s="32"/>
    </row>
    <row r="303">
      <c r="A303" s="21"/>
      <c r="C303" s="32"/>
    </row>
    <row r="304">
      <c r="A304" s="21"/>
      <c r="C304" s="32"/>
    </row>
    <row r="305">
      <c r="A305" s="21"/>
      <c r="C305" s="32"/>
    </row>
    <row r="306">
      <c r="A306" s="21"/>
      <c r="C306" s="32"/>
    </row>
    <row r="307">
      <c r="A307" s="21"/>
      <c r="C307" s="32"/>
    </row>
    <row r="308">
      <c r="A308" s="21"/>
      <c r="C308" s="32"/>
    </row>
    <row r="309">
      <c r="A309" s="21"/>
      <c r="C309" s="32"/>
    </row>
    <row r="310">
      <c r="A310" s="21"/>
      <c r="C310" s="32"/>
    </row>
    <row r="311">
      <c r="A311" s="21"/>
      <c r="C311" s="32"/>
    </row>
    <row r="312">
      <c r="A312" s="21"/>
      <c r="C312" s="32"/>
    </row>
    <row r="313">
      <c r="A313" s="21"/>
      <c r="C313" s="32"/>
    </row>
    <row r="314">
      <c r="A314" s="21"/>
      <c r="C314" s="32"/>
    </row>
    <row r="315">
      <c r="A315" s="21"/>
      <c r="C315" s="32"/>
    </row>
    <row r="316">
      <c r="A316" s="21"/>
      <c r="C316" s="32"/>
    </row>
    <row r="317">
      <c r="A317" s="21"/>
      <c r="C317" s="32"/>
    </row>
    <row r="318">
      <c r="A318" s="21"/>
      <c r="C318" s="32"/>
    </row>
    <row r="319">
      <c r="A319" s="21"/>
      <c r="C319" s="32"/>
    </row>
    <row r="320">
      <c r="A320" s="21"/>
      <c r="C320" s="32"/>
    </row>
    <row r="321">
      <c r="A321" s="21"/>
      <c r="C321" s="32"/>
    </row>
    <row r="322">
      <c r="A322" s="21"/>
      <c r="C322" s="32"/>
    </row>
    <row r="323">
      <c r="A323" s="21"/>
      <c r="C323" s="32"/>
    </row>
    <row r="324">
      <c r="A324" s="21"/>
      <c r="C324" s="32"/>
    </row>
    <row r="325">
      <c r="A325" s="21"/>
      <c r="C325" s="32"/>
    </row>
    <row r="326">
      <c r="A326" s="21"/>
      <c r="C326" s="32"/>
    </row>
    <row r="327">
      <c r="A327" s="21"/>
      <c r="C327" s="32"/>
    </row>
    <row r="328">
      <c r="A328" s="21"/>
      <c r="C328" s="32"/>
    </row>
    <row r="329">
      <c r="A329" s="21"/>
      <c r="C329" s="32"/>
    </row>
    <row r="330">
      <c r="A330" s="21"/>
      <c r="C330" s="32"/>
    </row>
    <row r="331">
      <c r="A331" s="21"/>
      <c r="C331" s="32"/>
    </row>
    <row r="332">
      <c r="A332" s="21"/>
      <c r="C332" s="32"/>
    </row>
    <row r="333">
      <c r="A333" s="21"/>
      <c r="C333" s="32"/>
    </row>
    <row r="334">
      <c r="A334" s="21"/>
      <c r="C334" s="32"/>
    </row>
    <row r="335">
      <c r="A335" s="21"/>
      <c r="C335" s="32"/>
    </row>
    <row r="336">
      <c r="A336" s="21"/>
      <c r="C336" s="32"/>
    </row>
    <row r="337">
      <c r="A337" s="21"/>
      <c r="C337" s="32"/>
    </row>
    <row r="338">
      <c r="A338" s="21"/>
      <c r="C338" s="32"/>
    </row>
    <row r="339">
      <c r="A339" s="21"/>
      <c r="C339" s="32"/>
    </row>
    <row r="340">
      <c r="A340" s="21"/>
      <c r="C340" s="32"/>
    </row>
    <row r="341">
      <c r="A341" s="21"/>
      <c r="C341" s="32"/>
    </row>
    <row r="342">
      <c r="A342" s="21"/>
      <c r="C342" s="32"/>
    </row>
    <row r="343">
      <c r="A343" s="21"/>
      <c r="C343" s="32"/>
    </row>
    <row r="344">
      <c r="A344" s="21"/>
      <c r="C344" s="32"/>
    </row>
    <row r="345">
      <c r="A345" s="21"/>
      <c r="C345" s="32"/>
    </row>
    <row r="346">
      <c r="A346" s="21"/>
      <c r="C346" s="32"/>
    </row>
    <row r="347">
      <c r="A347" s="21"/>
      <c r="C347" s="32"/>
    </row>
    <row r="348">
      <c r="A348" s="21"/>
      <c r="C348" s="32"/>
    </row>
    <row r="349">
      <c r="A349" s="21"/>
      <c r="C349" s="32"/>
    </row>
    <row r="350">
      <c r="A350" s="21"/>
      <c r="C350" s="32"/>
    </row>
    <row r="351">
      <c r="A351" s="21"/>
      <c r="C351" s="32"/>
    </row>
    <row r="352">
      <c r="A352" s="21"/>
      <c r="C352" s="32"/>
    </row>
    <row r="353">
      <c r="A353" s="21"/>
      <c r="C353" s="32"/>
    </row>
    <row r="354">
      <c r="A354" s="21"/>
      <c r="C354" s="32"/>
    </row>
    <row r="355">
      <c r="A355" s="21"/>
      <c r="C355" s="32"/>
    </row>
    <row r="356">
      <c r="A356" s="21"/>
      <c r="C356" s="32"/>
    </row>
    <row r="357">
      <c r="A357" s="21"/>
      <c r="C357" s="32"/>
    </row>
    <row r="358">
      <c r="A358" s="21"/>
      <c r="C358" s="32"/>
    </row>
    <row r="359">
      <c r="A359" s="21"/>
      <c r="C359" s="32"/>
    </row>
    <row r="360">
      <c r="A360" s="21"/>
      <c r="C360" s="32"/>
    </row>
    <row r="361">
      <c r="A361" s="21"/>
      <c r="C361" s="32"/>
    </row>
    <row r="362">
      <c r="A362" s="21"/>
      <c r="C362" s="32"/>
    </row>
    <row r="363">
      <c r="A363" s="21"/>
      <c r="C363" s="32"/>
    </row>
    <row r="364">
      <c r="A364" s="21"/>
      <c r="C364" s="32"/>
    </row>
    <row r="365">
      <c r="A365" s="21"/>
      <c r="C365" s="32"/>
    </row>
    <row r="366">
      <c r="A366" s="21"/>
      <c r="C366" s="32"/>
    </row>
    <row r="367">
      <c r="A367" s="21"/>
      <c r="C367" s="32"/>
    </row>
    <row r="368">
      <c r="A368" s="21"/>
      <c r="C368" s="32"/>
    </row>
    <row r="369">
      <c r="A369" s="21"/>
      <c r="C369" s="32"/>
    </row>
    <row r="370">
      <c r="A370" s="21"/>
      <c r="C370" s="32"/>
    </row>
    <row r="371">
      <c r="A371" s="21"/>
      <c r="C371" s="32"/>
    </row>
    <row r="372">
      <c r="A372" s="21"/>
      <c r="C372" s="32"/>
    </row>
    <row r="373">
      <c r="A373" s="21"/>
      <c r="C373" s="32"/>
    </row>
    <row r="374">
      <c r="A374" s="21"/>
      <c r="C374" s="32"/>
    </row>
    <row r="375">
      <c r="A375" s="21"/>
      <c r="C375" s="32"/>
    </row>
    <row r="376">
      <c r="A376" s="21"/>
      <c r="C376" s="32"/>
    </row>
    <row r="377">
      <c r="A377" s="21"/>
      <c r="C377" s="32"/>
    </row>
    <row r="378">
      <c r="A378" s="21"/>
      <c r="C378" s="32"/>
    </row>
    <row r="379">
      <c r="A379" s="21"/>
      <c r="C379" s="32"/>
    </row>
    <row r="380">
      <c r="A380" s="21"/>
      <c r="C380" s="32"/>
    </row>
    <row r="381">
      <c r="A381" s="21"/>
      <c r="C381" s="32"/>
    </row>
    <row r="382">
      <c r="A382" s="21"/>
      <c r="C382" s="32"/>
    </row>
    <row r="383">
      <c r="A383" s="21"/>
      <c r="C383" s="32"/>
    </row>
    <row r="384">
      <c r="A384" s="21"/>
      <c r="C384" s="32"/>
    </row>
    <row r="385">
      <c r="A385" s="21"/>
      <c r="C385" s="32"/>
    </row>
    <row r="386">
      <c r="A386" s="21"/>
      <c r="C386" s="32"/>
    </row>
    <row r="387">
      <c r="A387" s="21"/>
      <c r="C387" s="32"/>
    </row>
    <row r="388">
      <c r="A388" s="21"/>
      <c r="C388" s="32"/>
    </row>
    <row r="389">
      <c r="A389" s="21"/>
      <c r="C389" s="32"/>
    </row>
    <row r="390">
      <c r="A390" s="21"/>
      <c r="C390" s="32"/>
    </row>
    <row r="391">
      <c r="A391" s="21"/>
      <c r="C391" s="32"/>
    </row>
    <row r="392">
      <c r="A392" s="21"/>
      <c r="C392" s="32"/>
    </row>
    <row r="393">
      <c r="A393" s="21"/>
      <c r="C393" s="32"/>
    </row>
    <row r="394">
      <c r="A394" s="21"/>
      <c r="C394" s="32"/>
    </row>
    <row r="395">
      <c r="A395" s="21"/>
      <c r="C395" s="32"/>
    </row>
    <row r="396">
      <c r="A396" s="21"/>
      <c r="C396" s="32"/>
    </row>
    <row r="397">
      <c r="A397" s="21"/>
      <c r="C397" s="32"/>
    </row>
    <row r="398">
      <c r="A398" s="21"/>
      <c r="C398" s="32"/>
    </row>
    <row r="399">
      <c r="A399" s="21"/>
      <c r="C399" s="32"/>
    </row>
    <row r="400">
      <c r="A400" s="21"/>
      <c r="C400" s="32"/>
    </row>
    <row r="401">
      <c r="A401" s="21"/>
      <c r="C401" s="32"/>
    </row>
    <row r="402">
      <c r="A402" s="21"/>
      <c r="C402" s="32"/>
    </row>
    <row r="403">
      <c r="A403" s="21"/>
      <c r="C403" s="32"/>
    </row>
    <row r="404">
      <c r="A404" s="21"/>
      <c r="C404" s="32"/>
    </row>
    <row r="405">
      <c r="A405" s="21"/>
      <c r="C405" s="32"/>
    </row>
    <row r="406">
      <c r="A406" s="21"/>
      <c r="C406" s="32"/>
    </row>
    <row r="407">
      <c r="A407" s="21"/>
      <c r="C407" s="32"/>
    </row>
    <row r="408">
      <c r="A408" s="21"/>
      <c r="C408" s="32"/>
    </row>
    <row r="409">
      <c r="A409" s="21"/>
      <c r="C409" s="32"/>
    </row>
    <row r="410">
      <c r="A410" s="21"/>
      <c r="C410" s="32"/>
    </row>
    <row r="411">
      <c r="A411" s="21"/>
      <c r="C411" s="32"/>
    </row>
    <row r="412">
      <c r="A412" s="21"/>
      <c r="C412" s="32"/>
    </row>
    <row r="413">
      <c r="A413" s="21"/>
      <c r="C413" s="32"/>
    </row>
    <row r="414">
      <c r="A414" s="21"/>
      <c r="C414" s="32"/>
    </row>
    <row r="415">
      <c r="A415" s="21"/>
      <c r="C415" s="32"/>
    </row>
    <row r="416">
      <c r="A416" s="21"/>
      <c r="C416" s="32"/>
    </row>
    <row r="417">
      <c r="A417" s="21"/>
      <c r="C417" s="32"/>
    </row>
    <row r="418">
      <c r="A418" s="21"/>
      <c r="C418" s="32"/>
    </row>
    <row r="419">
      <c r="A419" s="21"/>
      <c r="C419" s="32"/>
    </row>
    <row r="420">
      <c r="A420" s="21"/>
      <c r="C420" s="32"/>
    </row>
    <row r="421">
      <c r="A421" s="21"/>
      <c r="C421" s="32"/>
    </row>
    <row r="422">
      <c r="A422" s="21"/>
      <c r="C422" s="32"/>
    </row>
    <row r="423">
      <c r="A423" s="21"/>
      <c r="C423" s="32"/>
    </row>
    <row r="424">
      <c r="A424" s="21"/>
      <c r="C424" s="32"/>
    </row>
    <row r="425">
      <c r="A425" s="21"/>
      <c r="C425" s="32"/>
    </row>
    <row r="426">
      <c r="A426" s="21"/>
      <c r="C426" s="32"/>
    </row>
    <row r="427">
      <c r="A427" s="21"/>
      <c r="C427" s="32"/>
    </row>
    <row r="428">
      <c r="A428" s="21"/>
      <c r="C428" s="32"/>
    </row>
    <row r="429">
      <c r="A429" s="21"/>
      <c r="C429" s="32"/>
    </row>
    <row r="430">
      <c r="A430" s="21"/>
      <c r="C430" s="32"/>
    </row>
    <row r="431">
      <c r="A431" s="21"/>
      <c r="C431" s="32"/>
    </row>
    <row r="432">
      <c r="A432" s="21"/>
      <c r="C432" s="32"/>
    </row>
    <row r="433">
      <c r="A433" s="21"/>
      <c r="C433" s="32"/>
    </row>
    <row r="434">
      <c r="A434" s="21"/>
      <c r="C434" s="32"/>
    </row>
    <row r="435">
      <c r="A435" s="21"/>
      <c r="C435" s="32"/>
    </row>
    <row r="436">
      <c r="A436" s="21"/>
      <c r="C436" s="32"/>
    </row>
    <row r="437">
      <c r="A437" s="21"/>
      <c r="C437" s="32"/>
    </row>
    <row r="438">
      <c r="A438" s="21"/>
      <c r="C438" s="32"/>
    </row>
    <row r="439">
      <c r="A439" s="21"/>
      <c r="C439" s="32"/>
    </row>
    <row r="440">
      <c r="A440" s="21"/>
      <c r="C440" s="32"/>
    </row>
    <row r="441">
      <c r="A441" s="21"/>
      <c r="C441" s="32"/>
    </row>
    <row r="442">
      <c r="A442" s="21"/>
      <c r="C442" s="32"/>
    </row>
    <row r="443">
      <c r="A443" s="21"/>
      <c r="C443" s="32"/>
    </row>
    <row r="444">
      <c r="A444" s="21"/>
      <c r="C444" s="32"/>
    </row>
    <row r="445">
      <c r="A445" s="21"/>
      <c r="C445" s="32"/>
    </row>
    <row r="446">
      <c r="A446" s="21"/>
      <c r="C446" s="32"/>
    </row>
    <row r="447">
      <c r="A447" s="21"/>
      <c r="C447" s="32"/>
    </row>
    <row r="448">
      <c r="A448" s="21"/>
      <c r="C448" s="32"/>
    </row>
    <row r="449">
      <c r="A449" s="21"/>
      <c r="C449" s="32"/>
    </row>
    <row r="450">
      <c r="A450" s="21"/>
      <c r="C450" s="32"/>
    </row>
    <row r="451">
      <c r="A451" s="21"/>
      <c r="C451" s="32"/>
    </row>
    <row r="452">
      <c r="A452" s="21"/>
      <c r="C452" s="32"/>
    </row>
    <row r="453">
      <c r="A453" s="21"/>
      <c r="C453" s="32"/>
    </row>
    <row r="454">
      <c r="A454" s="21"/>
      <c r="C454" s="32"/>
    </row>
    <row r="455">
      <c r="A455" s="21"/>
      <c r="C455" s="32"/>
    </row>
    <row r="456">
      <c r="A456" s="21"/>
      <c r="C456" s="32"/>
    </row>
    <row r="457">
      <c r="A457" s="21"/>
      <c r="C457" s="32"/>
    </row>
    <row r="458">
      <c r="A458" s="21"/>
      <c r="C458" s="32"/>
    </row>
    <row r="459">
      <c r="A459" s="21"/>
      <c r="C459" s="32"/>
    </row>
    <row r="460">
      <c r="A460" s="21"/>
      <c r="C460" s="32"/>
    </row>
    <row r="461">
      <c r="A461" s="21"/>
      <c r="C461" s="32"/>
    </row>
    <row r="462">
      <c r="A462" s="21"/>
      <c r="C462" s="32"/>
    </row>
    <row r="463">
      <c r="A463" s="21"/>
      <c r="C463" s="32"/>
    </row>
    <row r="464">
      <c r="A464" s="21"/>
      <c r="C464" s="32"/>
    </row>
    <row r="465">
      <c r="A465" s="21"/>
      <c r="C465" s="32"/>
    </row>
    <row r="466">
      <c r="A466" s="21"/>
      <c r="C466" s="32"/>
    </row>
    <row r="467">
      <c r="A467" s="21"/>
      <c r="C467" s="32"/>
    </row>
    <row r="468">
      <c r="A468" s="21"/>
      <c r="C468" s="32"/>
    </row>
    <row r="469">
      <c r="A469" s="21"/>
      <c r="C469" s="32"/>
    </row>
    <row r="470">
      <c r="A470" s="21"/>
      <c r="C470" s="32"/>
    </row>
    <row r="471">
      <c r="A471" s="21"/>
      <c r="C471" s="32"/>
    </row>
    <row r="472">
      <c r="A472" s="21"/>
      <c r="C472" s="32"/>
    </row>
    <row r="473">
      <c r="A473" s="21"/>
      <c r="C473" s="32"/>
    </row>
    <row r="474">
      <c r="A474" s="21"/>
      <c r="C474" s="32"/>
    </row>
    <row r="475">
      <c r="A475" s="21"/>
      <c r="C475" s="32"/>
    </row>
    <row r="476">
      <c r="A476" s="21"/>
      <c r="C476" s="32"/>
    </row>
    <row r="477">
      <c r="A477" s="21"/>
      <c r="C477" s="32"/>
    </row>
    <row r="478">
      <c r="A478" s="21"/>
      <c r="C478" s="32"/>
    </row>
    <row r="479">
      <c r="A479" s="21"/>
      <c r="C479" s="32"/>
    </row>
    <row r="480">
      <c r="A480" s="21"/>
      <c r="C480" s="32"/>
    </row>
    <row r="481">
      <c r="A481" s="21"/>
      <c r="C481" s="32"/>
    </row>
    <row r="482">
      <c r="A482" s="21"/>
      <c r="C482" s="32"/>
    </row>
    <row r="483">
      <c r="A483" s="21"/>
      <c r="C483" s="32"/>
    </row>
    <row r="484">
      <c r="A484" s="21"/>
      <c r="C484" s="32"/>
    </row>
    <row r="485">
      <c r="A485" s="21"/>
      <c r="C485" s="32"/>
    </row>
    <row r="486">
      <c r="A486" s="21"/>
      <c r="C486" s="32"/>
    </row>
    <row r="487">
      <c r="A487" s="21"/>
      <c r="C487" s="32"/>
    </row>
    <row r="488">
      <c r="A488" s="21"/>
      <c r="C488" s="32"/>
    </row>
    <row r="489">
      <c r="A489" s="21"/>
      <c r="C489" s="32"/>
    </row>
    <row r="490">
      <c r="A490" s="21"/>
      <c r="C490" s="32"/>
    </row>
    <row r="491">
      <c r="A491" s="21"/>
      <c r="C491" s="32"/>
    </row>
    <row r="492">
      <c r="A492" s="21"/>
      <c r="C492" s="32"/>
    </row>
    <row r="493">
      <c r="A493" s="21"/>
      <c r="C493" s="32"/>
    </row>
    <row r="494">
      <c r="A494" s="21"/>
      <c r="C494" s="32"/>
    </row>
    <row r="495">
      <c r="A495" s="21"/>
      <c r="C495" s="32"/>
    </row>
    <row r="496">
      <c r="A496" s="21"/>
      <c r="C496" s="32"/>
    </row>
    <row r="497">
      <c r="A497" s="21"/>
      <c r="C497" s="32"/>
    </row>
    <row r="498">
      <c r="A498" s="21"/>
      <c r="C498" s="32"/>
    </row>
    <row r="499">
      <c r="A499" s="21"/>
      <c r="C499" s="32"/>
    </row>
    <row r="500">
      <c r="A500" s="21"/>
      <c r="C500" s="32"/>
    </row>
    <row r="501">
      <c r="A501" s="21"/>
      <c r="C501" s="32"/>
    </row>
    <row r="502">
      <c r="A502" s="21"/>
      <c r="C502" s="32"/>
    </row>
    <row r="503">
      <c r="A503" s="21"/>
      <c r="C503" s="32"/>
    </row>
    <row r="504">
      <c r="A504" s="21"/>
      <c r="C504" s="32"/>
    </row>
    <row r="505">
      <c r="A505" s="21"/>
      <c r="C505" s="32"/>
    </row>
    <row r="506">
      <c r="A506" s="21"/>
      <c r="C506" s="32"/>
    </row>
    <row r="507">
      <c r="A507" s="21"/>
      <c r="C507" s="32"/>
    </row>
    <row r="508">
      <c r="A508" s="21"/>
      <c r="C508" s="32"/>
    </row>
    <row r="509">
      <c r="A509" s="21"/>
      <c r="C509" s="32"/>
    </row>
    <row r="510">
      <c r="A510" s="21"/>
      <c r="C510" s="32"/>
    </row>
    <row r="511">
      <c r="A511" s="21"/>
      <c r="C511" s="32"/>
    </row>
    <row r="512">
      <c r="A512" s="21"/>
      <c r="C512" s="32"/>
    </row>
    <row r="513">
      <c r="A513" s="21"/>
      <c r="C513" s="32"/>
    </row>
    <row r="514">
      <c r="A514" s="21"/>
      <c r="C514" s="32"/>
    </row>
    <row r="515">
      <c r="A515" s="21"/>
      <c r="C515" s="32"/>
    </row>
    <row r="516">
      <c r="A516" s="21"/>
      <c r="C516" s="32"/>
    </row>
    <row r="517">
      <c r="A517" s="21"/>
      <c r="C517" s="32"/>
    </row>
    <row r="518">
      <c r="A518" s="21"/>
      <c r="C518" s="32"/>
    </row>
    <row r="519">
      <c r="A519" s="21"/>
      <c r="C519" s="32"/>
    </row>
    <row r="520">
      <c r="A520" s="21"/>
      <c r="C520" s="32"/>
    </row>
    <row r="521">
      <c r="A521" s="21"/>
      <c r="C521" s="32"/>
    </row>
    <row r="522">
      <c r="A522" s="21"/>
      <c r="C522" s="32"/>
    </row>
    <row r="523">
      <c r="A523" s="21"/>
      <c r="C523" s="32"/>
    </row>
    <row r="524">
      <c r="A524" s="21"/>
      <c r="C524" s="32"/>
    </row>
    <row r="525">
      <c r="A525" s="21"/>
      <c r="C525" s="32"/>
    </row>
    <row r="526">
      <c r="A526" s="21"/>
      <c r="C526" s="32"/>
    </row>
    <row r="527">
      <c r="A527" s="21"/>
      <c r="C527" s="32"/>
    </row>
    <row r="528">
      <c r="A528" s="21"/>
      <c r="C528" s="32"/>
    </row>
    <row r="529">
      <c r="A529" s="21"/>
      <c r="C529" s="32"/>
    </row>
    <row r="530">
      <c r="A530" s="21"/>
      <c r="C530" s="32"/>
    </row>
    <row r="531">
      <c r="A531" s="21"/>
      <c r="C531" s="32"/>
    </row>
    <row r="532">
      <c r="A532" s="21"/>
      <c r="C532" s="32"/>
    </row>
    <row r="533">
      <c r="A533" s="21"/>
      <c r="C533" s="32"/>
    </row>
    <row r="534">
      <c r="A534" s="21"/>
      <c r="C534" s="32"/>
    </row>
    <row r="535">
      <c r="A535" s="21"/>
      <c r="C535" s="32"/>
    </row>
    <row r="536">
      <c r="A536" s="21"/>
      <c r="C536" s="32"/>
    </row>
    <row r="537">
      <c r="A537" s="21"/>
      <c r="C537" s="32"/>
    </row>
    <row r="538">
      <c r="A538" s="21"/>
      <c r="C538" s="32"/>
    </row>
    <row r="539">
      <c r="A539" s="21"/>
      <c r="C539" s="32"/>
    </row>
    <row r="540">
      <c r="A540" s="21"/>
      <c r="C540" s="32"/>
    </row>
    <row r="541">
      <c r="A541" s="21"/>
      <c r="C541" s="32"/>
    </row>
    <row r="542">
      <c r="A542" s="21"/>
      <c r="C542" s="32"/>
    </row>
    <row r="543">
      <c r="A543" s="21"/>
      <c r="C543" s="32"/>
    </row>
    <row r="544">
      <c r="A544" s="21"/>
      <c r="C544" s="32"/>
    </row>
    <row r="545">
      <c r="A545" s="21"/>
      <c r="C545" s="32"/>
    </row>
    <row r="546">
      <c r="A546" s="21"/>
      <c r="C546" s="32"/>
    </row>
    <row r="547">
      <c r="A547" s="21"/>
      <c r="C547" s="32"/>
    </row>
    <row r="548">
      <c r="A548" s="21"/>
      <c r="C548" s="32"/>
    </row>
    <row r="549">
      <c r="A549" s="21"/>
      <c r="C549" s="32"/>
    </row>
    <row r="550">
      <c r="A550" s="21"/>
      <c r="C550" s="32"/>
    </row>
    <row r="551">
      <c r="A551" s="21"/>
      <c r="C551" s="32"/>
    </row>
    <row r="552">
      <c r="A552" s="21"/>
      <c r="C552" s="32"/>
    </row>
    <row r="553">
      <c r="A553" s="21"/>
      <c r="C553" s="32"/>
    </row>
    <row r="554">
      <c r="A554" s="21"/>
      <c r="C554" s="32"/>
    </row>
    <row r="555">
      <c r="A555" s="21"/>
      <c r="C555" s="32"/>
    </row>
    <row r="556">
      <c r="A556" s="21"/>
      <c r="C556" s="32"/>
    </row>
    <row r="557">
      <c r="A557" s="21"/>
      <c r="C557" s="32"/>
    </row>
    <row r="558">
      <c r="A558" s="21"/>
      <c r="C558" s="32"/>
    </row>
    <row r="559">
      <c r="A559" s="21"/>
      <c r="C559" s="32"/>
    </row>
    <row r="560">
      <c r="A560" s="21"/>
      <c r="C560" s="32"/>
    </row>
    <row r="561">
      <c r="A561" s="21"/>
      <c r="C561" s="32"/>
    </row>
    <row r="562">
      <c r="A562" s="21"/>
      <c r="C562" s="32"/>
    </row>
    <row r="563">
      <c r="A563" s="21"/>
      <c r="C563" s="32"/>
    </row>
    <row r="564">
      <c r="A564" s="21"/>
      <c r="C564" s="32"/>
    </row>
    <row r="565">
      <c r="A565" s="21"/>
      <c r="C565" s="32"/>
    </row>
    <row r="566">
      <c r="A566" s="21"/>
      <c r="C566" s="32"/>
    </row>
    <row r="567">
      <c r="A567" s="21"/>
      <c r="C567" s="32"/>
    </row>
    <row r="568">
      <c r="A568" s="21"/>
      <c r="C568" s="32"/>
    </row>
    <row r="569">
      <c r="A569" s="21"/>
      <c r="C569" s="32"/>
    </row>
    <row r="570">
      <c r="A570" s="21"/>
      <c r="C570" s="32"/>
    </row>
    <row r="571">
      <c r="A571" s="21"/>
      <c r="C571" s="32"/>
    </row>
    <row r="572">
      <c r="A572" s="21"/>
      <c r="C572" s="32"/>
    </row>
    <row r="573">
      <c r="A573" s="21"/>
      <c r="C573" s="32"/>
    </row>
    <row r="574">
      <c r="A574" s="21"/>
      <c r="C574" s="32"/>
    </row>
    <row r="575">
      <c r="A575" s="21"/>
      <c r="C575" s="32"/>
    </row>
    <row r="576">
      <c r="A576" s="21"/>
      <c r="C576" s="32"/>
    </row>
    <row r="577">
      <c r="A577" s="21"/>
      <c r="C577" s="32"/>
    </row>
    <row r="578">
      <c r="A578" s="21"/>
      <c r="C578" s="32"/>
    </row>
    <row r="579">
      <c r="A579" s="21"/>
      <c r="C579" s="32"/>
    </row>
    <row r="580">
      <c r="A580" s="21"/>
      <c r="C580" s="32"/>
    </row>
    <row r="581">
      <c r="A581" s="21"/>
      <c r="C581" s="32"/>
    </row>
    <row r="582">
      <c r="A582" s="21"/>
      <c r="C582" s="32"/>
    </row>
    <row r="583">
      <c r="A583" s="21"/>
      <c r="C583" s="32"/>
    </row>
    <row r="584">
      <c r="A584" s="21"/>
      <c r="C584" s="32"/>
    </row>
    <row r="585">
      <c r="A585" s="21"/>
      <c r="C585" s="32"/>
    </row>
    <row r="586">
      <c r="A586" s="21"/>
      <c r="C586" s="32"/>
    </row>
    <row r="587">
      <c r="A587" s="21"/>
      <c r="C587" s="32"/>
    </row>
    <row r="588">
      <c r="A588" s="21"/>
      <c r="C588" s="32"/>
    </row>
    <row r="589">
      <c r="A589" s="21"/>
      <c r="C589" s="32"/>
    </row>
    <row r="590">
      <c r="A590" s="21"/>
      <c r="C590" s="32"/>
    </row>
    <row r="591">
      <c r="A591" s="21"/>
      <c r="C591" s="32"/>
    </row>
    <row r="592">
      <c r="A592" s="21"/>
      <c r="C592" s="32"/>
    </row>
    <row r="593">
      <c r="A593" s="21"/>
      <c r="C593" s="32"/>
    </row>
    <row r="594">
      <c r="A594" s="21"/>
      <c r="C594" s="32"/>
    </row>
    <row r="595">
      <c r="A595" s="21"/>
      <c r="C595" s="32"/>
    </row>
    <row r="596">
      <c r="A596" s="21"/>
      <c r="C596" s="32"/>
    </row>
    <row r="597">
      <c r="A597" s="21"/>
      <c r="C597" s="32"/>
    </row>
    <row r="598">
      <c r="A598" s="21"/>
      <c r="C598" s="32"/>
    </row>
    <row r="599">
      <c r="A599" s="21"/>
      <c r="C599" s="32"/>
    </row>
    <row r="600">
      <c r="A600" s="21"/>
      <c r="C600" s="32"/>
    </row>
    <row r="601">
      <c r="A601" s="21"/>
      <c r="C601" s="32"/>
    </row>
    <row r="602">
      <c r="A602" s="21"/>
      <c r="C602" s="32"/>
    </row>
    <row r="603">
      <c r="A603" s="21"/>
      <c r="C603" s="32"/>
    </row>
    <row r="604">
      <c r="A604" s="21"/>
      <c r="C604" s="32"/>
    </row>
    <row r="605">
      <c r="A605" s="21"/>
      <c r="C605" s="32"/>
    </row>
    <row r="606">
      <c r="A606" s="21"/>
      <c r="C606" s="32"/>
    </row>
    <row r="607">
      <c r="A607" s="21"/>
      <c r="C607" s="32"/>
    </row>
    <row r="608">
      <c r="A608" s="21"/>
      <c r="C608" s="32"/>
    </row>
    <row r="609">
      <c r="A609" s="21"/>
      <c r="C609" s="32"/>
    </row>
    <row r="610">
      <c r="A610" s="21"/>
      <c r="C610" s="32"/>
    </row>
    <row r="611">
      <c r="A611" s="21"/>
      <c r="C611" s="32"/>
    </row>
    <row r="612">
      <c r="A612" s="21"/>
      <c r="C612" s="32"/>
    </row>
    <row r="613">
      <c r="A613" s="21"/>
      <c r="C613" s="32"/>
    </row>
    <row r="614">
      <c r="A614" s="21"/>
      <c r="C614" s="32"/>
    </row>
    <row r="615">
      <c r="A615" s="21"/>
      <c r="C615" s="32"/>
    </row>
    <row r="616">
      <c r="A616" s="21"/>
      <c r="C616" s="32"/>
    </row>
    <row r="617">
      <c r="A617" s="21"/>
      <c r="C617" s="32"/>
    </row>
    <row r="618">
      <c r="A618" s="21"/>
      <c r="C618" s="32"/>
    </row>
    <row r="619">
      <c r="A619" s="21"/>
      <c r="C619" s="32"/>
    </row>
    <row r="620">
      <c r="A620" s="21"/>
      <c r="C620" s="32"/>
    </row>
    <row r="621">
      <c r="A621" s="21"/>
      <c r="C621" s="32"/>
    </row>
    <row r="622">
      <c r="A622" s="21"/>
      <c r="C622" s="32"/>
    </row>
    <row r="623">
      <c r="A623" s="21"/>
      <c r="C623" s="32"/>
    </row>
    <row r="624">
      <c r="A624" s="21"/>
      <c r="C624" s="32"/>
    </row>
    <row r="625">
      <c r="A625" s="21"/>
      <c r="C625" s="32"/>
    </row>
    <row r="626">
      <c r="A626" s="21"/>
      <c r="C626" s="32"/>
    </row>
    <row r="627">
      <c r="A627" s="21"/>
      <c r="C627" s="32"/>
    </row>
    <row r="628">
      <c r="A628" s="21"/>
      <c r="C628" s="32"/>
    </row>
    <row r="629">
      <c r="A629" s="21"/>
      <c r="C629" s="32"/>
    </row>
    <row r="630">
      <c r="A630" s="21"/>
      <c r="C630" s="32"/>
    </row>
    <row r="631">
      <c r="A631" s="21"/>
      <c r="C631" s="32"/>
    </row>
    <row r="632">
      <c r="A632" s="21"/>
      <c r="C632" s="32"/>
    </row>
    <row r="633">
      <c r="A633" s="21"/>
      <c r="C633" s="32"/>
    </row>
    <row r="634">
      <c r="A634" s="21"/>
      <c r="C634" s="32"/>
    </row>
    <row r="635">
      <c r="A635" s="21"/>
      <c r="C635" s="32"/>
    </row>
    <row r="636">
      <c r="A636" s="21"/>
      <c r="C636" s="32"/>
    </row>
    <row r="637">
      <c r="A637" s="21"/>
      <c r="C637" s="32"/>
    </row>
    <row r="638">
      <c r="A638" s="21"/>
      <c r="C638" s="32"/>
    </row>
    <row r="639">
      <c r="A639" s="21"/>
      <c r="C639" s="32"/>
    </row>
    <row r="640">
      <c r="A640" s="21"/>
      <c r="C640" s="32"/>
    </row>
    <row r="641">
      <c r="A641" s="21"/>
      <c r="C641" s="32"/>
    </row>
    <row r="642">
      <c r="A642" s="21"/>
      <c r="C642" s="32"/>
    </row>
    <row r="643">
      <c r="A643" s="21"/>
      <c r="C643" s="32"/>
    </row>
    <row r="644">
      <c r="A644" s="21"/>
      <c r="C644" s="32"/>
    </row>
    <row r="645">
      <c r="A645" s="21"/>
      <c r="C645" s="32"/>
    </row>
    <row r="646">
      <c r="A646" s="21"/>
      <c r="C646" s="32"/>
    </row>
    <row r="647">
      <c r="A647" s="21"/>
      <c r="C647" s="32"/>
    </row>
    <row r="648">
      <c r="A648" s="21"/>
      <c r="C648" s="32"/>
    </row>
    <row r="649">
      <c r="A649" s="21"/>
      <c r="C649" s="32"/>
    </row>
    <row r="650">
      <c r="A650" s="21"/>
      <c r="C650" s="32"/>
    </row>
    <row r="651">
      <c r="A651" s="21"/>
      <c r="C651" s="32"/>
    </row>
    <row r="652">
      <c r="A652" s="21"/>
      <c r="C652" s="32"/>
    </row>
    <row r="653">
      <c r="A653" s="21"/>
      <c r="C653" s="32"/>
    </row>
    <row r="654">
      <c r="A654" s="21"/>
      <c r="C654" s="32"/>
    </row>
    <row r="655">
      <c r="A655" s="21"/>
      <c r="C655" s="32"/>
    </row>
    <row r="656">
      <c r="A656" s="21"/>
      <c r="C656" s="32"/>
    </row>
    <row r="657">
      <c r="A657" s="21"/>
      <c r="C657" s="32"/>
    </row>
    <row r="658">
      <c r="A658" s="21"/>
      <c r="C658" s="32"/>
    </row>
    <row r="659">
      <c r="A659" s="21"/>
      <c r="C659" s="32"/>
    </row>
    <row r="660">
      <c r="A660" s="21"/>
      <c r="C660" s="32"/>
    </row>
    <row r="661">
      <c r="A661" s="21"/>
      <c r="C661" s="32"/>
    </row>
    <row r="662">
      <c r="A662" s="21"/>
      <c r="C662" s="32"/>
    </row>
    <row r="663">
      <c r="A663" s="21"/>
      <c r="C663" s="32"/>
    </row>
    <row r="664">
      <c r="A664" s="21"/>
      <c r="C664" s="32"/>
    </row>
    <row r="665">
      <c r="A665" s="21"/>
      <c r="C665" s="32"/>
    </row>
    <row r="666">
      <c r="A666" s="21"/>
      <c r="C666" s="32"/>
    </row>
    <row r="667">
      <c r="A667" s="21"/>
      <c r="C667" s="32"/>
    </row>
    <row r="668">
      <c r="A668" s="21"/>
      <c r="C668" s="32"/>
    </row>
    <row r="669">
      <c r="A669" s="21"/>
      <c r="C669" s="32"/>
    </row>
    <row r="670">
      <c r="A670" s="21"/>
      <c r="C670" s="32"/>
    </row>
    <row r="671">
      <c r="A671" s="21"/>
      <c r="C671" s="32"/>
    </row>
    <row r="672">
      <c r="A672" s="21"/>
      <c r="C672" s="32"/>
    </row>
    <row r="673">
      <c r="A673" s="21"/>
      <c r="C673" s="32"/>
    </row>
    <row r="674">
      <c r="A674" s="21"/>
      <c r="C674" s="32"/>
    </row>
    <row r="675">
      <c r="A675" s="21"/>
      <c r="C675" s="32"/>
    </row>
    <row r="676">
      <c r="A676" s="21"/>
      <c r="C676" s="32"/>
    </row>
    <row r="677">
      <c r="A677" s="21"/>
      <c r="C677" s="32"/>
    </row>
    <row r="678">
      <c r="A678" s="21"/>
      <c r="C678" s="32"/>
    </row>
    <row r="679">
      <c r="A679" s="21"/>
      <c r="C679" s="32"/>
    </row>
    <row r="680">
      <c r="A680" s="21"/>
      <c r="C680" s="32"/>
    </row>
    <row r="681">
      <c r="A681" s="21"/>
      <c r="C681" s="32"/>
    </row>
    <row r="682">
      <c r="A682" s="21"/>
      <c r="C682" s="32"/>
    </row>
    <row r="683">
      <c r="A683" s="21"/>
      <c r="C683" s="32"/>
    </row>
    <row r="684">
      <c r="A684" s="21"/>
      <c r="C684" s="32"/>
    </row>
    <row r="685">
      <c r="A685" s="21"/>
      <c r="C685" s="32"/>
    </row>
    <row r="686">
      <c r="A686" s="21"/>
      <c r="C686" s="32"/>
    </row>
    <row r="687">
      <c r="A687" s="21"/>
      <c r="C687" s="32"/>
    </row>
    <row r="688">
      <c r="A688" s="21"/>
      <c r="C688" s="32"/>
    </row>
    <row r="689">
      <c r="A689" s="21"/>
      <c r="C689" s="32"/>
    </row>
    <row r="690">
      <c r="A690" s="21"/>
      <c r="C690" s="32"/>
    </row>
    <row r="691">
      <c r="A691" s="21"/>
      <c r="C691" s="32"/>
    </row>
    <row r="692">
      <c r="A692" s="21"/>
      <c r="C692" s="32"/>
    </row>
    <row r="693">
      <c r="A693" s="21"/>
      <c r="C693" s="32"/>
    </row>
    <row r="694">
      <c r="A694" s="21"/>
      <c r="C694" s="32"/>
    </row>
    <row r="695">
      <c r="A695" s="21"/>
      <c r="C695" s="32"/>
    </row>
    <row r="696">
      <c r="A696" s="21"/>
      <c r="C696" s="32"/>
    </row>
    <row r="697">
      <c r="A697" s="21"/>
      <c r="C697" s="32"/>
    </row>
    <row r="698">
      <c r="A698" s="21"/>
      <c r="C698" s="32"/>
    </row>
    <row r="699">
      <c r="A699" s="21"/>
      <c r="C699" s="32"/>
    </row>
    <row r="700">
      <c r="A700" s="21"/>
      <c r="C700" s="32"/>
    </row>
    <row r="701">
      <c r="A701" s="21"/>
      <c r="C701" s="32"/>
    </row>
    <row r="702">
      <c r="A702" s="21"/>
      <c r="C702" s="32"/>
    </row>
    <row r="703">
      <c r="A703" s="21"/>
      <c r="C703" s="32"/>
    </row>
    <row r="704">
      <c r="A704" s="21"/>
      <c r="C704" s="32"/>
    </row>
    <row r="705">
      <c r="A705" s="21"/>
      <c r="C705" s="32"/>
    </row>
    <row r="706">
      <c r="A706" s="21"/>
      <c r="C706" s="32"/>
    </row>
    <row r="707">
      <c r="A707" s="21"/>
      <c r="C707" s="32"/>
    </row>
    <row r="708">
      <c r="A708" s="21"/>
      <c r="C708" s="32"/>
    </row>
    <row r="709">
      <c r="A709" s="21"/>
      <c r="C709" s="32"/>
    </row>
    <row r="710">
      <c r="A710" s="21"/>
      <c r="C710" s="32"/>
    </row>
    <row r="711">
      <c r="A711" s="21"/>
      <c r="C711" s="32"/>
    </row>
    <row r="712">
      <c r="A712" s="21"/>
      <c r="C712" s="32"/>
    </row>
    <row r="713">
      <c r="A713" s="21"/>
      <c r="C713" s="32"/>
    </row>
    <row r="714">
      <c r="A714" s="21"/>
      <c r="C714" s="32"/>
    </row>
    <row r="715">
      <c r="A715" s="21"/>
      <c r="C715" s="32"/>
    </row>
    <row r="716">
      <c r="A716" s="21"/>
      <c r="C716" s="32"/>
    </row>
    <row r="717">
      <c r="A717" s="21"/>
      <c r="C717" s="32"/>
    </row>
    <row r="718">
      <c r="A718" s="21"/>
      <c r="C718" s="32"/>
    </row>
    <row r="719">
      <c r="A719" s="21"/>
      <c r="C719" s="32"/>
    </row>
    <row r="720">
      <c r="A720" s="21"/>
      <c r="C720" s="32"/>
    </row>
    <row r="721">
      <c r="A721" s="21"/>
      <c r="C721" s="32"/>
    </row>
    <row r="722">
      <c r="A722" s="21"/>
      <c r="C722" s="32"/>
    </row>
    <row r="723">
      <c r="A723" s="21"/>
      <c r="C723" s="32"/>
    </row>
    <row r="724">
      <c r="A724" s="21"/>
      <c r="C724" s="32"/>
    </row>
    <row r="725">
      <c r="A725" s="21"/>
      <c r="C725" s="32"/>
    </row>
    <row r="726">
      <c r="A726" s="21"/>
      <c r="C726" s="32"/>
    </row>
    <row r="727">
      <c r="A727" s="21"/>
      <c r="C727" s="32"/>
    </row>
    <row r="728">
      <c r="A728" s="21"/>
      <c r="C728" s="32"/>
    </row>
    <row r="729">
      <c r="A729" s="21"/>
      <c r="C729" s="32"/>
    </row>
    <row r="730">
      <c r="A730" s="21"/>
      <c r="C730" s="32"/>
    </row>
    <row r="731">
      <c r="A731" s="21"/>
      <c r="C731" s="32"/>
    </row>
    <row r="732">
      <c r="A732" s="21"/>
      <c r="C732" s="32"/>
    </row>
    <row r="733">
      <c r="A733" s="21"/>
      <c r="C733" s="32"/>
    </row>
    <row r="734">
      <c r="A734" s="21"/>
      <c r="C734" s="32"/>
    </row>
    <row r="735">
      <c r="A735" s="21"/>
      <c r="C735" s="32"/>
    </row>
    <row r="736">
      <c r="A736" s="21"/>
      <c r="C736" s="32"/>
    </row>
    <row r="737">
      <c r="A737" s="21"/>
      <c r="C737" s="32"/>
    </row>
    <row r="738">
      <c r="A738" s="21"/>
      <c r="C738" s="32"/>
    </row>
    <row r="739">
      <c r="A739" s="21"/>
      <c r="C739" s="32"/>
    </row>
    <row r="740">
      <c r="A740" s="21"/>
      <c r="C740" s="32"/>
    </row>
    <row r="741">
      <c r="A741" s="21"/>
      <c r="C741" s="32"/>
    </row>
    <row r="742">
      <c r="A742" s="21"/>
      <c r="C742" s="32"/>
    </row>
    <row r="743">
      <c r="A743" s="21"/>
      <c r="C743" s="32"/>
    </row>
    <row r="744">
      <c r="A744" s="21"/>
      <c r="C744" s="32"/>
    </row>
    <row r="745">
      <c r="A745" s="21"/>
      <c r="C745" s="32"/>
    </row>
    <row r="746">
      <c r="A746" s="21"/>
      <c r="C746" s="32"/>
    </row>
    <row r="747">
      <c r="A747" s="21"/>
      <c r="C747" s="32"/>
    </row>
    <row r="748">
      <c r="A748" s="21"/>
      <c r="C748" s="32"/>
    </row>
    <row r="749">
      <c r="A749" s="21"/>
      <c r="C749" s="32"/>
    </row>
    <row r="750">
      <c r="A750" s="21"/>
      <c r="C750" s="32"/>
    </row>
    <row r="751">
      <c r="A751" s="21"/>
      <c r="C751" s="32"/>
    </row>
    <row r="752">
      <c r="A752" s="21"/>
      <c r="C752" s="32"/>
    </row>
    <row r="753">
      <c r="A753" s="21"/>
      <c r="C753" s="32"/>
    </row>
    <row r="754">
      <c r="A754" s="21"/>
      <c r="C754" s="32"/>
    </row>
    <row r="755">
      <c r="A755" s="21"/>
      <c r="C755" s="32"/>
    </row>
    <row r="756">
      <c r="A756" s="21"/>
      <c r="C756" s="32"/>
    </row>
    <row r="757">
      <c r="A757" s="21"/>
      <c r="C757" s="32"/>
    </row>
    <row r="758">
      <c r="A758" s="21"/>
      <c r="C758" s="32"/>
    </row>
    <row r="759">
      <c r="A759" s="21"/>
      <c r="C759" s="32"/>
    </row>
    <row r="760">
      <c r="A760" s="21"/>
      <c r="C760" s="32"/>
    </row>
    <row r="761">
      <c r="A761" s="21"/>
      <c r="C761" s="32"/>
    </row>
    <row r="762">
      <c r="A762" s="21"/>
      <c r="C762" s="32"/>
    </row>
    <row r="763">
      <c r="A763" s="21"/>
      <c r="C763" s="32"/>
    </row>
    <row r="764">
      <c r="A764" s="21"/>
      <c r="C764" s="32"/>
    </row>
    <row r="765">
      <c r="A765" s="21"/>
      <c r="C765" s="32"/>
    </row>
    <row r="766">
      <c r="A766" s="21"/>
      <c r="C766" s="32"/>
    </row>
    <row r="767">
      <c r="A767" s="21"/>
      <c r="C767" s="32"/>
    </row>
    <row r="768">
      <c r="A768" s="21"/>
      <c r="C768" s="32"/>
    </row>
    <row r="769">
      <c r="A769" s="21"/>
      <c r="C769" s="32"/>
    </row>
    <row r="770">
      <c r="A770" s="21"/>
      <c r="C770" s="32"/>
    </row>
    <row r="771">
      <c r="A771" s="21"/>
      <c r="C771" s="32"/>
    </row>
    <row r="772">
      <c r="A772" s="21"/>
      <c r="C772" s="32"/>
    </row>
    <row r="773">
      <c r="A773" s="21"/>
      <c r="C773" s="32"/>
    </row>
    <row r="774">
      <c r="A774" s="21"/>
      <c r="C774" s="32"/>
    </row>
    <row r="775">
      <c r="A775" s="21"/>
      <c r="C775" s="32"/>
    </row>
    <row r="776">
      <c r="A776" s="21"/>
      <c r="C776" s="32"/>
    </row>
    <row r="777">
      <c r="A777" s="21"/>
      <c r="C777" s="32"/>
    </row>
    <row r="778">
      <c r="A778" s="21"/>
      <c r="C778" s="32"/>
    </row>
    <row r="779">
      <c r="A779" s="21"/>
      <c r="C779" s="32"/>
    </row>
    <row r="780">
      <c r="A780" s="21"/>
      <c r="C780" s="32"/>
    </row>
    <row r="781">
      <c r="A781" s="21"/>
      <c r="C781" s="32"/>
    </row>
    <row r="782">
      <c r="A782" s="21"/>
      <c r="C782" s="32"/>
    </row>
    <row r="783">
      <c r="A783" s="21"/>
      <c r="C783" s="32"/>
    </row>
    <row r="784">
      <c r="A784" s="21"/>
      <c r="C784" s="32"/>
    </row>
    <row r="785">
      <c r="A785" s="21"/>
      <c r="C785" s="32"/>
    </row>
    <row r="786">
      <c r="A786" s="21"/>
      <c r="C786" s="32"/>
    </row>
    <row r="787">
      <c r="A787" s="21"/>
      <c r="C787" s="32"/>
    </row>
    <row r="788">
      <c r="A788" s="21"/>
      <c r="C788" s="32"/>
    </row>
    <row r="789">
      <c r="A789" s="21"/>
      <c r="C789" s="32"/>
    </row>
    <row r="790">
      <c r="A790" s="21"/>
      <c r="C790" s="32"/>
    </row>
    <row r="791">
      <c r="A791" s="21"/>
      <c r="C791" s="32"/>
    </row>
    <row r="792">
      <c r="A792" s="21"/>
      <c r="C792" s="32"/>
    </row>
    <row r="793">
      <c r="A793" s="21"/>
      <c r="C793" s="32"/>
    </row>
    <row r="794">
      <c r="A794" s="21"/>
      <c r="C794" s="32"/>
    </row>
    <row r="795">
      <c r="A795" s="21"/>
      <c r="C795" s="32"/>
    </row>
    <row r="796">
      <c r="A796" s="21"/>
      <c r="C796" s="32"/>
    </row>
    <row r="797">
      <c r="A797" s="21"/>
      <c r="C797" s="32"/>
    </row>
    <row r="798">
      <c r="A798" s="21"/>
      <c r="C798" s="32"/>
    </row>
    <row r="799">
      <c r="A799" s="21"/>
      <c r="C799" s="32"/>
    </row>
    <row r="800">
      <c r="A800" s="21"/>
      <c r="C800" s="32"/>
    </row>
    <row r="801">
      <c r="A801" s="21"/>
      <c r="C801" s="32"/>
    </row>
    <row r="802">
      <c r="A802" s="21"/>
      <c r="C802" s="32"/>
    </row>
    <row r="803">
      <c r="A803" s="21"/>
      <c r="C803" s="32"/>
    </row>
    <row r="804">
      <c r="A804" s="21"/>
      <c r="C804" s="32"/>
    </row>
    <row r="805">
      <c r="A805" s="21"/>
      <c r="C805" s="32"/>
    </row>
    <row r="806">
      <c r="A806" s="21"/>
      <c r="C806" s="32"/>
    </row>
    <row r="807">
      <c r="A807" s="21"/>
      <c r="C807" s="32"/>
    </row>
    <row r="808">
      <c r="A808" s="21"/>
      <c r="C808" s="32"/>
    </row>
    <row r="809">
      <c r="A809" s="21"/>
      <c r="C809" s="32"/>
    </row>
    <row r="810">
      <c r="A810" s="21"/>
      <c r="C810" s="32"/>
    </row>
    <row r="811">
      <c r="A811" s="21"/>
      <c r="C811" s="32"/>
    </row>
    <row r="812">
      <c r="A812" s="21"/>
      <c r="C812" s="32"/>
    </row>
    <row r="813">
      <c r="A813" s="21"/>
      <c r="C813" s="32"/>
    </row>
    <row r="814">
      <c r="A814" s="21"/>
      <c r="C814" s="32"/>
    </row>
    <row r="815">
      <c r="A815" s="21"/>
      <c r="C815" s="32"/>
    </row>
    <row r="816">
      <c r="A816" s="21"/>
      <c r="C816" s="32"/>
    </row>
    <row r="817">
      <c r="A817" s="21"/>
      <c r="C817" s="32"/>
    </row>
    <row r="818">
      <c r="A818" s="21"/>
      <c r="C818" s="32"/>
    </row>
    <row r="819">
      <c r="A819" s="21"/>
      <c r="C819" s="32"/>
    </row>
    <row r="820">
      <c r="A820" s="21"/>
      <c r="C820" s="32"/>
    </row>
    <row r="821">
      <c r="A821" s="21"/>
      <c r="C821" s="32"/>
    </row>
    <row r="822">
      <c r="A822" s="21"/>
      <c r="C822" s="32"/>
    </row>
    <row r="823">
      <c r="A823" s="21"/>
      <c r="C823" s="32"/>
    </row>
    <row r="824">
      <c r="A824" s="21"/>
      <c r="C824" s="32"/>
    </row>
    <row r="825">
      <c r="A825" s="21"/>
      <c r="C825" s="32"/>
    </row>
    <row r="826">
      <c r="A826" s="21"/>
      <c r="C826" s="32"/>
    </row>
    <row r="827">
      <c r="A827" s="21"/>
      <c r="C827" s="32"/>
    </row>
    <row r="828">
      <c r="A828" s="21"/>
      <c r="C828" s="32"/>
    </row>
    <row r="829">
      <c r="A829" s="21"/>
      <c r="C829" s="32"/>
    </row>
    <row r="830">
      <c r="A830" s="21"/>
      <c r="C830" s="32"/>
    </row>
    <row r="831">
      <c r="A831" s="21"/>
      <c r="C831" s="32"/>
    </row>
    <row r="832">
      <c r="A832" s="21"/>
      <c r="C832" s="32"/>
    </row>
    <row r="833">
      <c r="A833" s="21"/>
      <c r="C833" s="32"/>
    </row>
    <row r="834">
      <c r="A834" s="21"/>
      <c r="C834" s="32"/>
    </row>
    <row r="835">
      <c r="A835" s="21"/>
      <c r="C835" s="32"/>
    </row>
    <row r="836">
      <c r="A836" s="21"/>
      <c r="C836" s="32"/>
    </row>
    <row r="837">
      <c r="A837" s="21"/>
      <c r="C837" s="32"/>
    </row>
    <row r="838">
      <c r="A838" s="21"/>
      <c r="C838" s="32"/>
    </row>
    <row r="839">
      <c r="A839" s="21"/>
      <c r="C839" s="32"/>
    </row>
    <row r="840">
      <c r="A840" s="21"/>
      <c r="C840" s="32"/>
    </row>
    <row r="841">
      <c r="A841" s="21"/>
      <c r="C841" s="32"/>
    </row>
    <row r="842">
      <c r="A842" s="21"/>
      <c r="C842" s="32"/>
    </row>
    <row r="843">
      <c r="A843" s="21"/>
      <c r="C843" s="32"/>
    </row>
    <row r="844">
      <c r="A844" s="21"/>
      <c r="C844" s="32"/>
    </row>
    <row r="845">
      <c r="A845" s="21"/>
      <c r="C845" s="32"/>
    </row>
    <row r="846">
      <c r="A846" s="21"/>
      <c r="C846" s="32"/>
    </row>
    <row r="847">
      <c r="A847" s="21"/>
      <c r="C847" s="32"/>
    </row>
    <row r="848">
      <c r="A848" s="21"/>
      <c r="C848" s="32"/>
    </row>
    <row r="849">
      <c r="A849" s="21"/>
      <c r="C849" s="32"/>
    </row>
    <row r="850">
      <c r="A850" s="21"/>
      <c r="C850" s="32"/>
    </row>
    <row r="851">
      <c r="A851" s="21"/>
      <c r="C851" s="32"/>
    </row>
    <row r="852">
      <c r="A852" s="21"/>
      <c r="C852" s="32"/>
    </row>
    <row r="853">
      <c r="A853" s="21"/>
      <c r="C853" s="32"/>
    </row>
    <row r="854">
      <c r="A854" s="21"/>
      <c r="C854" s="32"/>
    </row>
    <row r="855">
      <c r="A855" s="21"/>
      <c r="C855" s="32"/>
    </row>
    <row r="856">
      <c r="A856" s="21"/>
      <c r="C856" s="32"/>
    </row>
    <row r="857">
      <c r="A857" s="21"/>
      <c r="C857" s="32"/>
    </row>
    <row r="858">
      <c r="A858" s="21"/>
      <c r="C858" s="32"/>
    </row>
    <row r="859">
      <c r="A859" s="21"/>
      <c r="C859" s="32"/>
    </row>
    <row r="860">
      <c r="A860" s="21"/>
      <c r="C860" s="32"/>
    </row>
    <row r="861">
      <c r="A861" s="21"/>
      <c r="C861" s="32"/>
    </row>
    <row r="862">
      <c r="A862" s="21"/>
      <c r="C862" s="32"/>
    </row>
    <row r="863">
      <c r="A863" s="21"/>
      <c r="C863" s="32"/>
    </row>
    <row r="864">
      <c r="A864" s="21"/>
      <c r="C864" s="32"/>
    </row>
    <row r="865">
      <c r="A865" s="21"/>
      <c r="C865" s="32"/>
    </row>
    <row r="866">
      <c r="A866" s="21"/>
      <c r="C866" s="32"/>
    </row>
    <row r="867">
      <c r="A867" s="21"/>
      <c r="C867" s="32"/>
    </row>
    <row r="868">
      <c r="A868" s="21"/>
      <c r="C868" s="32"/>
    </row>
    <row r="869">
      <c r="A869" s="21"/>
      <c r="C869" s="32"/>
    </row>
    <row r="870">
      <c r="A870" s="21"/>
      <c r="C870" s="32"/>
    </row>
    <row r="871">
      <c r="A871" s="21"/>
      <c r="C871" s="32"/>
    </row>
    <row r="872">
      <c r="A872" s="21"/>
      <c r="C872" s="32"/>
    </row>
    <row r="873">
      <c r="A873" s="21"/>
      <c r="C873" s="32"/>
    </row>
    <row r="874">
      <c r="A874" s="21"/>
      <c r="C874" s="32"/>
    </row>
    <row r="875">
      <c r="A875" s="21"/>
      <c r="C875" s="32"/>
    </row>
    <row r="876">
      <c r="A876" s="21"/>
      <c r="C876" s="32"/>
    </row>
    <row r="877">
      <c r="A877" s="21"/>
      <c r="C877" s="32"/>
    </row>
    <row r="878">
      <c r="A878" s="21"/>
      <c r="C878" s="32"/>
    </row>
    <row r="879">
      <c r="A879" s="21"/>
      <c r="C879" s="32"/>
    </row>
    <row r="880">
      <c r="A880" s="21"/>
      <c r="C880" s="32"/>
    </row>
    <row r="881">
      <c r="A881" s="21"/>
      <c r="C881" s="32"/>
    </row>
    <row r="882">
      <c r="A882" s="21"/>
      <c r="C882" s="32"/>
    </row>
    <row r="883">
      <c r="A883" s="21"/>
      <c r="C883" s="32"/>
    </row>
    <row r="884">
      <c r="A884" s="21"/>
      <c r="C884" s="32"/>
    </row>
    <row r="885">
      <c r="A885" s="21"/>
      <c r="C885" s="32"/>
    </row>
    <row r="886">
      <c r="A886" s="21"/>
      <c r="C886" s="32"/>
    </row>
    <row r="887">
      <c r="A887" s="21"/>
      <c r="C887" s="32"/>
    </row>
    <row r="888">
      <c r="A888" s="21"/>
      <c r="C888" s="32"/>
    </row>
    <row r="889">
      <c r="A889" s="21"/>
      <c r="C889" s="32"/>
    </row>
    <row r="890">
      <c r="A890" s="21"/>
      <c r="C890" s="32"/>
    </row>
    <row r="891">
      <c r="A891" s="21"/>
      <c r="C891" s="32"/>
    </row>
    <row r="892">
      <c r="A892" s="21"/>
      <c r="C892" s="32"/>
    </row>
    <row r="893">
      <c r="A893" s="21"/>
      <c r="C893" s="32"/>
    </row>
    <row r="894">
      <c r="A894" s="21"/>
      <c r="C894" s="32"/>
    </row>
    <row r="895">
      <c r="A895" s="21"/>
      <c r="C895" s="32"/>
    </row>
    <row r="896">
      <c r="A896" s="21"/>
      <c r="C896" s="32"/>
    </row>
    <row r="897">
      <c r="A897" s="21"/>
      <c r="C897" s="32"/>
    </row>
    <row r="898">
      <c r="A898" s="21"/>
      <c r="C898" s="32"/>
    </row>
    <row r="899">
      <c r="A899" s="21"/>
      <c r="C899" s="32"/>
    </row>
    <row r="900">
      <c r="A900" s="21"/>
      <c r="C900" s="32"/>
    </row>
    <row r="901">
      <c r="A901" s="21"/>
      <c r="C901" s="32"/>
    </row>
    <row r="902">
      <c r="A902" s="21"/>
      <c r="C902" s="32"/>
    </row>
    <row r="903">
      <c r="A903" s="21"/>
      <c r="C903" s="32"/>
    </row>
    <row r="904">
      <c r="A904" s="21"/>
      <c r="C904" s="32"/>
    </row>
    <row r="905">
      <c r="A905" s="21"/>
      <c r="C905" s="32"/>
    </row>
    <row r="906">
      <c r="A906" s="21"/>
      <c r="C906" s="32"/>
    </row>
    <row r="907">
      <c r="A907" s="21"/>
      <c r="C907" s="32"/>
    </row>
    <row r="908">
      <c r="A908" s="21"/>
      <c r="C908" s="32"/>
    </row>
    <row r="909">
      <c r="A909" s="21"/>
      <c r="C909" s="32"/>
    </row>
    <row r="910">
      <c r="A910" s="21"/>
      <c r="C910" s="32"/>
    </row>
    <row r="911">
      <c r="A911" s="21"/>
      <c r="C911" s="32"/>
    </row>
    <row r="912">
      <c r="A912" s="21"/>
      <c r="C912" s="32"/>
    </row>
    <row r="913">
      <c r="A913" s="21"/>
      <c r="C913" s="32"/>
    </row>
    <row r="914">
      <c r="A914" s="21"/>
      <c r="C914" s="32"/>
    </row>
    <row r="915">
      <c r="A915" s="21"/>
      <c r="C915" s="32"/>
    </row>
    <row r="916">
      <c r="A916" s="21"/>
      <c r="C916" s="32"/>
    </row>
    <row r="917">
      <c r="A917" s="21"/>
      <c r="C917" s="32"/>
    </row>
    <row r="918">
      <c r="A918" s="21"/>
      <c r="C918" s="32"/>
    </row>
    <row r="919">
      <c r="A919" s="21"/>
      <c r="C919" s="32"/>
    </row>
    <row r="920">
      <c r="A920" s="21"/>
      <c r="C920" s="32"/>
    </row>
    <row r="921">
      <c r="A921" s="21"/>
      <c r="C921" s="32"/>
    </row>
    <row r="922">
      <c r="A922" s="21"/>
      <c r="C922" s="32"/>
    </row>
    <row r="923">
      <c r="A923" s="21"/>
      <c r="C923" s="32"/>
    </row>
    <row r="924">
      <c r="A924" s="21"/>
      <c r="C924" s="32"/>
    </row>
    <row r="925">
      <c r="A925" s="21"/>
      <c r="C925" s="32"/>
    </row>
    <row r="926">
      <c r="A926" s="21"/>
      <c r="C926" s="32"/>
    </row>
    <row r="927">
      <c r="A927" s="21"/>
      <c r="C927" s="32"/>
    </row>
    <row r="928">
      <c r="A928" s="21"/>
      <c r="C928" s="32"/>
    </row>
    <row r="929">
      <c r="A929" s="21"/>
      <c r="C929" s="32"/>
    </row>
    <row r="930">
      <c r="A930" s="21"/>
      <c r="C930" s="32"/>
    </row>
    <row r="931">
      <c r="A931" s="21"/>
      <c r="C931" s="32"/>
    </row>
    <row r="932">
      <c r="A932" s="21"/>
      <c r="C932" s="32"/>
    </row>
    <row r="933">
      <c r="A933" s="21"/>
      <c r="C933" s="32"/>
    </row>
    <row r="934">
      <c r="A934" s="21"/>
      <c r="C934" s="32"/>
    </row>
    <row r="935">
      <c r="A935" s="21"/>
      <c r="C935" s="32"/>
    </row>
    <row r="936">
      <c r="A936" s="21"/>
      <c r="C936" s="32"/>
    </row>
    <row r="937">
      <c r="A937" s="21"/>
      <c r="C937" s="32"/>
    </row>
    <row r="938">
      <c r="A938" s="21"/>
      <c r="C938" s="32"/>
    </row>
    <row r="939">
      <c r="A939" s="21"/>
      <c r="C939" s="32"/>
    </row>
    <row r="940">
      <c r="A940" s="21"/>
      <c r="C940" s="32"/>
    </row>
    <row r="941">
      <c r="A941" s="21"/>
      <c r="C941" s="32"/>
    </row>
    <row r="942">
      <c r="A942" s="21"/>
      <c r="C942" s="32"/>
    </row>
    <row r="943">
      <c r="A943" s="21"/>
      <c r="C943" s="32"/>
    </row>
    <row r="944">
      <c r="A944" s="21"/>
      <c r="C944" s="32"/>
    </row>
    <row r="945">
      <c r="A945" s="21"/>
      <c r="C945" s="32"/>
    </row>
    <row r="946">
      <c r="A946" s="21"/>
      <c r="C946" s="32"/>
    </row>
    <row r="947">
      <c r="A947" s="21"/>
      <c r="C947" s="32"/>
    </row>
    <row r="948">
      <c r="A948" s="21"/>
      <c r="C948" s="32"/>
    </row>
    <row r="949">
      <c r="A949" s="21"/>
      <c r="C949" s="32"/>
    </row>
    <row r="950">
      <c r="A950" s="21"/>
      <c r="C950" s="32"/>
    </row>
    <row r="951">
      <c r="A951" s="21"/>
      <c r="C951" s="32"/>
    </row>
    <row r="952">
      <c r="A952" s="21"/>
      <c r="C952" s="32"/>
    </row>
    <row r="953">
      <c r="A953" s="21"/>
      <c r="C953" s="32"/>
    </row>
    <row r="954">
      <c r="A954" s="21"/>
      <c r="C954" s="32"/>
    </row>
    <row r="955">
      <c r="A955" s="21"/>
      <c r="C955" s="32"/>
    </row>
    <row r="956">
      <c r="A956" s="21"/>
      <c r="C956" s="32"/>
    </row>
    <row r="957">
      <c r="A957" s="21"/>
      <c r="C957" s="32"/>
    </row>
    <row r="958">
      <c r="A958" s="21"/>
      <c r="C958" s="32"/>
    </row>
    <row r="959">
      <c r="A959" s="21"/>
      <c r="C959" s="32"/>
    </row>
    <row r="960">
      <c r="A960" s="21"/>
      <c r="C960" s="32"/>
    </row>
    <row r="961">
      <c r="A961" s="21"/>
      <c r="C961" s="32"/>
    </row>
    <row r="962">
      <c r="A962" s="21"/>
      <c r="C962" s="32"/>
    </row>
    <row r="963">
      <c r="A963" s="21"/>
      <c r="C963" s="32"/>
    </row>
    <row r="964">
      <c r="A964" s="21"/>
      <c r="C964" s="32"/>
    </row>
    <row r="965">
      <c r="A965" s="21"/>
      <c r="C965" s="32"/>
    </row>
    <row r="966">
      <c r="A966" s="21"/>
      <c r="C966" s="32"/>
    </row>
    <row r="967">
      <c r="A967" s="21"/>
      <c r="C967" s="32"/>
    </row>
    <row r="968">
      <c r="A968" s="21"/>
      <c r="C968" s="32"/>
    </row>
    <row r="969">
      <c r="A969" s="21"/>
      <c r="C969" s="32"/>
    </row>
    <row r="970">
      <c r="A970" s="21"/>
      <c r="C970" s="32"/>
    </row>
    <row r="971">
      <c r="A971" s="21"/>
      <c r="C971" s="32"/>
    </row>
    <row r="972">
      <c r="A972" s="21"/>
      <c r="C972" s="32"/>
    </row>
    <row r="973">
      <c r="A973" s="21"/>
      <c r="C973" s="32"/>
    </row>
    <row r="974">
      <c r="A974" s="21"/>
      <c r="C974" s="32"/>
    </row>
    <row r="975">
      <c r="A975" s="21"/>
      <c r="C975" s="32"/>
    </row>
    <row r="976">
      <c r="A976" s="21"/>
      <c r="C976" s="32"/>
    </row>
    <row r="977">
      <c r="A977" s="21"/>
      <c r="C977" s="32"/>
    </row>
    <row r="978">
      <c r="A978" s="21"/>
      <c r="C978" s="32"/>
    </row>
    <row r="979">
      <c r="A979" s="21"/>
      <c r="C979" s="32"/>
    </row>
    <row r="980">
      <c r="A980" s="21"/>
      <c r="C980" s="32"/>
    </row>
    <row r="981">
      <c r="A981" s="21"/>
      <c r="C981" s="32"/>
    </row>
    <row r="982">
      <c r="A982" s="21"/>
      <c r="C982" s="32"/>
    </row>
    <row r="983">
      <c r="A983" s="21"/>
      <c r="C983" s="32"/>
    </row>
    <row r="984">
      <c r="A984" s="21"/>
      <c r="C984" s="32"/>
    </row>
    <row r="985">
      <c r="A985" s="21"/>
      <c r="C985" s="32"/>
    </row>
    <row r="986">
      <c r="A986" s="21"/>
      <c r="C986" s="32"/>
    </row>
    <row r="987">
      <c r="A987" s="21"/>
      <c r="C987" s="32"/>
    </row>
    <row r="988">
      <c r="A988" s="21"/>
      <c r="C988" s="32"/>
    </row>
    <row r="989">
      <c r="A989" s="21"/>
      <c r="C989" s="32"/>
    </row>
    <row r="990">
      <c r="A990" s="21"/>
      <c r="C990" s="32"/>
    </row>
    <row r="991">
      <c r="A991" s="21"/>
      <c r="C991" s="32"/>
    </row>
    <row r="992">
      <c r="A992" s="21"/>
      <c r="C992" s="32"/>
    </row>
    <row r="993">
      <c r="A993" s="21"/>
      <c r="C993" s="32"/>
    </row>
    <row r="994">
      <c r="A994" s="21"/>
      <c r="C994" s="32"/>
    </row>
    <row r="995">
      <c r="A995" s="21"/>
      <c r="C995" s="32"/>
    </row>
    <row r="996">
      <c r="A996" s="21"/>
      <c r="C996" s="32"/>
    </row>
    <row r="997">
      <c r="A997" s="21"/>
      <c r="C997" s="32"/>
    </row>
    <row r="998">
      <c r="A998" s="21"/>
      <c r="C998" s="32"/>
    </row>
    <row r="999">
      <c r="A999" s="21"/>
      <c r="C999" s="32"/>
    </row>
    <row r="1000">
      <c r="A1000" s="21"/>
      <c r="C1000" s="32"/>
    </row>
  </sheetData>
  <mergeCells count="6">
    <mergeCell ref="A1:F1"/>
    <mergeCell ref="A2:A3"/>
    <mergeCell ref="B2:B3"/>
    <mergeCell ref="C2:C3"/>
    <mergeCell ref="D2:E2"/>
    <mergeCell ref="F2:F3"/>
  </mergeCells>
  <conditionalFormatting sqref="D3:E204">
    <cfRule type="containsText" dxfId="0" priority="1" operator="containsText" text="Đã">
      <formula>NOT(ISERROR(SEARCH(("Đã"),(D3))))</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4.57"/>
    <col customWidth="1" min="3" max="3" width="50.43"/>
  </cols>
  <sheetData>
    <row r="1" ht="39.0" customHeight="1">
      <c r="A1" s="22" t="s">
        <v>588</v>
      </c>
    </row>
    <row r="2">
      <c r="A2" s="3" t="s">
        <v>1</v>
      </c>
      <c r="B2" s="4" t="s">
        <v>3</v>
      </c>
      <c r="C2" s="3" t="s">
        <v>4</v>
      </c>
      <c r="D2" s="5" t="s">
        <v>5</v>
      </c>
      <c r="E2" s="6"/>
      <c r="F2" s="4" t="s">
        <v>6</v>
      </c>
    </row>
    <row r="3" ht="25.5" customHeight="1">
      <c r="A3" s="7"/>
      <c r="B3" s="7"/>
      <c r="C3" s="7"/>
      <c r="D3" s="3" t="s">
        <v>589</v>
      </c>
      <c r="E3" s="3" t="s">
        <v>590</v>
      </c>
      <c r="F3" s="7"/>
    </row>
    <row r="4">
      <c r="A4" s="33">
        <v>1.0</v>
      </c>
      <c r="B4" s="34">
        <v>5.310105816E9</v>
      </c>
      <c r="C4" s="35" t="s">
        <v>591</v>
      </c>
      <c r="D4" s="14" t="str">
        <f>if(countifs(DATABASE!I:I,"Bảo trì",DATABASE!E:E,B4,DATABASE!A:A,"&gt;01/03/2021",DATABASE!A:A,"&lt;01/06/2021")&gt;=1,"Đã bảo trì","")</f>
        <v>Đã bảo trì</v>
      </c>
      <c r="E4" s="14" t="str">
        <f>if(countifs(DATABASE!I:I,"Bảo trì",DATABASE!E:E,B4,DATABASE!A:A,"&gt;01/06/2021",DATABASE!A:A,"&lt;01/09/2021")&gt;=1,"Đã bảo trì","")</f>
        <v/>
      </c>
      <c r="F4" s="14">
        <f>countifs(DATABASE!E:E,B4)</f>
        <v>1</v>
      </c>
    </row>
    <row r="5">
      <c r="A5" s="33">
        <v>2.0</v>
      </c>
      <c r="B5" s="36">
        <v>5.3101058E9</v>
      </c>
      <c r="C5" s="35" t="s">
        <v>592</v>
      </c>
      <c r="D5" s="14" t="str">
        <f>if(countifs(DATABASE!I:I,"Bảo trì",DATABASE!E:E,B5,DATABASE!A:A,"&gt;01/03/2021",DATABASE!A:A,"&lt;01/06/2021")&gt;=1,"Đã bảo trì","")</f>
        <v/>
      </c>
      <c r="E5" s="14" t="str">
        <f>if(countifs(DATABASE!I:I,"Bảo trì",DATABASE!E:E,B5,DATABASE!A:A,"&gt;01/06/2021",DATABASE!A:A,"&lt;01/09/2021")&gt;=1,"Đã bảo trì","")</f>
        <v/>
      </c>
      <c r="F5" s="14">
        <f>countifs(DATABASE!E:E,B5)</f>
        <v>1</v>
      </c>
    </row>
    <row r="6">
      <c r="A6" s="33">
        <v>3.0</v>
      </c>
      <c r="B6" s="36">
        <v>5.310106109E9</v>
      </c>
      <c r="C6" s="35" t="s">
        <v>593</v>
      </c>
      <c r="D6" s="14" t="str">
        <f>if(countifs(DATABASE!I:I,"Bảo trì",DATABASE!E:E,B6,DATABASE!A:A,"&gt;01/03/2021",DATABASE!A:A,"&lt;01/06/2021")&gt;=1,"Đã bảo trì","")</f>
        <v>Đã bảo trì</v>
      </c>
      <c r="E6" s="14" t="str">
        <f>if(countifs(DATABASE!I:I,"Bảo trì",DATABASE!E:E,B6,DATABASE!A:A,"&gt;01/06/2021",DATABASE!A:A,"&lt;01/09/2021")&gt;=1,"Đã bảo trì","")</f>
        <v/>
      </c>
      <c r="F6" s="14">
        <f>countifs(DATABASE!E:E,B6)</f>
        <v>4</v>
      </c>
    </row>
    <row r="7">
      <c r="A7" s="33">
        <v>4.0</v>
      </c>
      <c r="B7" s="36">
        <v>5.310106103E9</v>
      </c>
      <c r="C7" s="35" t="s">
        <v>594</v>
      </c>
      <c r="D7" s="14" t="str">
        <f>if(countifs(DATABASE!I:I,"Bảo trì",DATABASE!E:E,B7,DATABASE!A:A,"&gt;01/03/2021",DATABASE!A:A,"&lt;01/06/2021")&gt;=1,"Đã bảo trì","")</f>
        <v>Đã bảo trì</v>
      </c>
      <c r="E7" s="14" t="str">
        <f>if(countifs(DATABASE!I:I,"Bảo trì",DATABASE!E:E,B7,DATABASE!A:A,"&gt;01/06/2021",DATABASE!A:A,"&lt;01/09/2021")&gt;=1,"Đã bảo trì","")</f>
        <v/>
      </c>
      <c r="F7" s="14">
        <f>countifs(DATABASE!E:E,B7)</f>
        <v>2</v>
      </c>
    </row>
    <row r="8">
      <c r="A8" s="33">
        <v>5.0</v>
      </c>
      <c r="B8" s="36">
        <v>5.310105901E9</v>
      </c>
      <c r="C8" s="35" t="s">
        <v>594</v>
      </c>
      <c r="D8" s="14" t="str">
        <f>if(countifs(DATABASE!I:I,"Bảo trì",DATABASE!E:E,B8,DATABASE!A:A,"&gt;01/03/2021",DATABASE!A:A,"&lt;01/06/2021")&gt;=1,"Đã bảo trì","")</f>
        <v>Đã bảo trì</v>
      </c>
      <c r="E8" s="14" t="str">
        <f>if(countifs(DATABASE!I:I,"Bảo trì",DATABASE!E:E,B8,DATABASE!A:A,"&gt;01/06/2021",DATABASE!A:A,"&lt;01/09/2021")&gt;=1,"Đã bảo trì","")</f>
        <v/>
      </c>
      <c r="F8" s="14">
        <f>countifs(DATABASE!E:E,B8)</f>
        <v>2</v>
      </c>
    </row>
    <row r="9">
      <c r="A9" s="33">
        <v>6.0</v>
      </c>
      <c r="B9" s="36">
        <v>5.310107147E9</v>
      </c>
      <c r="C9" s="35" t="s">
        <v>595</v>
      </c>
      <c r="D9" s="14" t="str">
        <f>if(countifs(DATABASE!I:I,"Bảo trì",DATABASE!E:E,B9,DATABASE!A:A,"&gt;01/03/2021",DATABASE!A:A,"&lt;01/06/2021")&gt;=1,"Đã bảo trì","")</f>
        <v/>
      </c>
      <c r="E9" s="14" t="str">
        <f>if(countifs(DATABASE!I:I,"Bảo trì",DATABASE!E:E,B9,DATABASE!A:A,"&gt;01/06/2021",DATABASE!A:A,"&lt;01/09/2021")&gt;=1,"Đã bảo trì","")</f>
        <v/>
      </c>
      <c r="F9" s="14">
        <f>countifs(DATABASE!E:E,B9)</f>
        <v>1</v>
      </c>
    </row>
    <row r="10">
      <c r="A10" s="33">
        <v>7.0</v>
      </c>
      <c r="B10" s="36">
        <v>5.310107313E9</v>
      </c>
      <c r="C10" s="35" t="s">
        <v>596</v>
      </c>
      <c r="D10" s="14" t="str">
        <f>if(countifs(DATABASE!I:I,"Bảo trì",DATABASE!E:E,B10,DATABASE!A:A,"&gt;01/03/2021",DATABASE!A:A,"&lt;01/06/2021")&gt;=1,"Đã bảo trì","")</f>
        <v>Đã bảo trì</v>
      </c>
      <c r="E10" s="14" t="str">
        <f>if(countifs(DATABASE!I:I,"Bảo trì",DATABASE!E:E,B10,DATABASE!A:A,"&gt;01/06/2021",DATABASE!A:A,"&lt;01/09/2021")&gt;=1,"Đã bảo trì","")</f>
        <v/>
      </c>
      <c r="F10" s="14">
        <f>countifs(DATABASE!E:E,B10)</f>
        <v>2</v>
      </c>
    </row>
    <row r="11">
      <c r="A11" s="33">
        <v>8.0</v>
      </c>
      <c r="B11" s="36">
        <v>5.310107225E9</v>
      </c>
      <c r="C11" s="35" t="s">
        <v>597</v>
      </c>
      <c r="D11" s="14" t="str">
        <f>if(countifs(DATABASE!I:I,"Bảo trì",DATABASE!E:E,B11,DATABASE!A:A,"&gt;01/03/2021",DATABASE!A:A,"&lt;01/06/2021")&gt;=1,"Đã bảo trì","")</f>
        <v>Đã bảo trì</v>
      </c>
      <c r="E11" s="14" t="str">
        <f>if(countifs(DATABASE!I:I,"Bảo trì",DATABASE!E:E,B11,DATABASE!A:A,"&gt;01/06/2021",DATABASE!A:A,"&lt;01/09/2021")&gt;=1,"Đã bảo trì","")</f>
        <v/>
      </c>
      <c r="F11" s="14">
        <f>countifs(DATABASE!E:E,B11)</f>
        <v>4</v>
      </c>
    </row>
    <row r="12">
      <c r="A12" s="33">
        <v>9.0</v>
      </c>
      <c r="B12" s="36">
        <v>5.310107039E9</v>
      </c>
      <c r="C12" s="35" t="s">
        <v>598</v>
      </c>
      <c r="D12" s="14" t="str">
        <f>if(countifs(DATABASE!I:I,"Bảo trì",DATABASE!E:E,B12,DATABASE!A:A,"&gt;01/03/2021",DATABASE!A:A,"&lt;01/06/2021")&gt;=1,"Đã bảo trì","")</f>
        <v>Đã bảo trì</v>
      </c>
      <c r="E12" s="14" t="str">
        <f>if(countifs(DATABASE!I:I,"Bảo trì",DATABASE!E:E,B12,DATABASE!A:A,"&gt;01/06/2021",DATABASE!A:A,"&lt;01/09/2021")&gt;=1,"Đã bảo trì","")</f>
        <v>Đã bảo trì</v>
      </c>
      <c r="F12" s="14">
        <f>countifs(DATABASE!E:E,B12)</f>
        <v>3</v>
      </c>
    </row>
    <row r="13">
      <c r="A13" s="33">
        <v>10.0</v>
      </c>
      <c r="B13" s="36">
        <v>5.310107229E9</v>
      </c>
      <c r="C13" s="35" t="s">
        <v>599</v>
      </c>
      <c r="D13" s="14" t="str">
        <f>if(countifs(DATABASE!I:I,"Bảo trì",DATABASE!E:E,B13,DATABASE!A:A,"&gt;01/03/2021",DATABASE!A:A,"&lt;01/06/2021")&gt;=1,"Đã bảo trì","")</f>
        <v>Đã bảo trì</v>
      </c>
      <c r="E13" s="14" t="str">
        <f>if(countifs(DATABASE!I:I,"Bảo trì",DATABASE!E:E,B13,DATABASE!A:A,"&gt;01/06/2021",DATABASE!A:A,"&lt;01/09/2021")&gt;=1,"Đã bảo trì","")</f>
        <v/>
      </c>
      <c r="F13" s="14">
        <f>countifs(DATABASE!E:E,B13)</f>
        <v>1</v>
      </c>
    </row>
    <row r="14">
      <c r="A14" s="33">
        <v>11.0</v>
      </c>
      <c r="B14" s="36">
        <v>5.310107302E9</v>
      </c>
      <c r="C14" s="35" t="s">
        <v>600</v>
      </c>
      <c r="D14" s="14" t="str">
        <f>if(countifs(DATABASE!I:I,"Bảo trì",DATABASE!E:E,B14,DATABASE!A:A,"&gt;01/03/2021",DATABASE!A:A,"&lt;01/06/2021")&gt;=1,"Đã bảo trì","")</f>
        <v/>
      </c>
      <c r="E14" s="14" t="str">
        <f>if(countifs(DATABASE!I:I,"Bảo trì",DATABASE!E:E,B14,DATABASE!A:A,"&gt;01/06/2021",DATABASE!A:A,"&lt;01/09/2021")&gt;=1,"Đã bảo trì","")</f>
        <v>Đã bảo trì</v>
      </c>
      <c r="F14" s="14">
        <f>countifs(DATABASE!E:E,B14)</f>
        <v>3</v>
      </c>
    </row>
    <row r="15">
      <c r="A15" s="33">
        <v>12.0</v>
      </c>
      <c r="B15" s="36">
        <v>5.310107361E9</v>
      </c>
      <c r="C15" s="35" t="s">
        <v>601</v>
      </c>
      <c r="D15" s="14" t="str">
        <f>if(countifs(DATABASE!I:I,"Bảo trì",DATABASE!E:E,B15,DATABASE!A:A,"&gt;01/03/2021",DATABASE!A:A,"&lt;01/06/2021")&gt;=1,"Đã bảo trì","")</f>
        <v/>
      </c>
      <c r="E15" s="14" t="str">
        <f>if(countifs(DATABASE!I:I,"Bảo trì",DATABASE!E:E,B15,DATABASE!A:A,"&gt;01/06/2021",DATABASE!A:A,"&lt;01/09/2021")&gt;=1,"Đã bảo trì","")</f>
        <v/>
      </c>
      <c r="F15" s="14">
        <f>countifs(DATABASE!E:E,B15)</f>
        <v>3</v>
      </c>
    </row>
    <row r="16">
      <c r="A16" s="33">
        <v>13.0</v>
      </c>
      <c r="B16" s="36">
        <v>5.310106126E9</v>
      </c>
      <c r="C16" s="35" t="s">
        <v>602</v>
      </c>
      <c r="D16" s="14" t="str">
        <f>if(countifs(DATABASE!I:I,"Bảo trì",DATABASE!E:E,B16,DATABASE!A:A,"&gt;01/03/2021",DATABASE!A:A,"&lt;01/06/2021")&gt;=1,"Đã bảo trì","")</f>
        <v/>
      </c>
      <c r="E16" s="14" t="str">
        <f>if(countifs(DATABASE!I:I,"Bảo trì",DATABASE!E:E,B16,DATABASE!A:A,"&gt;01/06/2021",DATABASE!A:A,"&lt;01/09/2021")&gt;=1,"Đã bảo trì","")</f>
        <v/>
      </c>
      <c r="F16" s="14">
        <f>countifs(DATABASE!E:E,B16)</f>
        <v>2</v>
      </c>
    </row>
    <row r="17">
      <c r="A17" s="33">
        <v>14.0</v>
      </c>
      <c r="B17" s="36">
        <v>5.310106076E9</v>
      </c>
      <c r="C17" s="35" t="s">
        <v>603</v>
      </c>
      <c r="D17" s="14" t="str">
        <f>if(countifs(DATABASE!I:I,"Bảo trì",DATABASE!E:E,B17,DATABASE!A:A,"&gt;01/03/2021",DATABASE!A:A,"&lt;01/06/2021")&gt;=1,"Đã bảo trì","")</f>
        <v/>
      </c>
      <c r="E17" s="14" t="str">
        <f>if(countifs(DATABASE!I:I,"Bảo trì",DATABASE!E:E,B17,DATABASE!A:A,"&gt;01/06/2021",DATABASE!A:A,"&lt;01/09/2021")&gt;=1,"Đã bảo trì","")</f>
        <v/>
      </c>
      <c r="F17" s="14">
        <f>countifs(DATABASE!E:E,B17)</f>
        <v>0</v>
      </c>
    </row>
    <row r="18">
      <c r="A18" s="33">
        <v>15.0</v>
      </c>
      <c r="B18" s="36">
        <v>5.310107238E9</v>
      </c>
      <c r="C18" s="35" t="s">
        <v>604</v>
      </c>
      <c r="D18" s="14" t="str">
        <f>if(countifs(DATABASE!I:I,"Bảo trì",DATABASE!E:E,B18,DATABASE!A:A,"&gt;01/03/2021",DATABASE!A:A,"&lt;01/06/2021")&gt;=1,"Đã bảo trì","")</f>
        <v/>
      </c>
      <c r="E18" s="14" t="str">
        <f>if(countifs(DATABASE!I:I,"Bảo trì",DATABASE!E:E,B18,DATABASE!A:A,"&gt;01/06/2021",DATABASE!A:A,"&lt;01/09/2021")&gt;=1,"Đã bảo trì","")</f>
        <v/>
      </c>
      <c r="F18" s="14">
        <f>countifs(DATABASE!E:E,B18)</f>
        <v>1</v>
      </c>
    </row>
    <row r="19">
      <c r="A19" s="33">
        <v>16.0</v>
      </c>
      <c r="B19" s="36">
        <v>5.310107036E9</v>
      </c>
      <c r="C19" s="35" t="s">
        <v>605</v>
      </c>
      <c r="D19" s="14" t="str">
        <f>if(countifs(DATABASE!I:I,"Bảo trì",DATABASE!E:E,B19,DATABASE!A:A,"&gt;01/03/2021",DATABASE!A:A,"&lt;01/06/2021")&gt;=1,"Đã bảo trì","")</f>
        <v/>
      </c>
      <c r="E19" s="14" t="str">
        <f>if(countifs(DATABASE!I:I,"Bảo trì",DATABASE!E:E,B19,DATABASE!A:A,"&gt;01/06/2021",DATABASE!A:A,"&lt;01/09/2021")&gt;=1,"Đã bảo trì","")</f>
        <v/>
      </c>
      <c r="F19" s="14">
        <f>countifs(DATABASE!E:E,B19)</f>
        <v>2</v>
      </c>
    </row>
    <row r="20">
      <c r="A20" s="33">
        <v>17.0</v>
      </c>
      <c r="B20" s="36">
        <v>5.310107221E9</v>
      </c>
      <c r="C20" s="35" t="s">
        <v>606</v>
      </c>
      <c r="D20" s="14" t="str">
        <f>if(countifs(DATABASE!I:I,"Bảo trì",DATABASE!E:E,B20,DATABASE!A:A,"&gt;01/03/2021",DATABASE!A:A,"&lt;01/06/2021")&gt;=1,"Đã bảo trì","")</f>
        <v>Đã bảo trì</v>
      </c>
      <c r="E20" s="14" t="str">
        <f>if(countifs(DATABASE!I:I,"Bảo trì",DATABASE!E:E,B20,DATABASE!A:A,"&gt;01/06/2021",DATABASE!A:A,"&lt;01/09/2021")&gt;=1,"Đã bảo trì","")</f>
        <v/>
      </c>
      <c r="F20" s="14">
        <f>countifs(DATABASE!E:E,B20)</f>
        <v>4</v>
      </c>
    </row>
    <row r="21">
      <c r="A21" s="33">
        <v>18.0</v>
      </c>
      <c r="B21" s="36">
        <v>5.310107028E9</v>
      </c>
      <c r="C21" s="35" t="s">
        <v>607</v>
      </c>
      <c r="D21" s="14" t="str">
        <f>if(countifs(DATABASE!I:I,"Bảo trì",DATABASE!E:E,B21,DATABASE!A:A,"&gt;01/03/2021",DATABASE!A:A,"&lt;01/06/2021")&gt;=1,"Đã bảo trì","")</f>
        <v>Đã bảo trì</v>
      </c>
      <c r="E21" s="14" t="str">
        <f>if(countifs(DATABASE!I:I,"Bảo trì",DATABASE!E:E,B21,DATABASE!A:A,"&gt;01/06/2021",DATABASE!A:A,"&lt;01/09/2021")&gt;=1,"Đã bảo trì","")</f>
        <v/>
      </c>
      <c r="F21" s="14">
        <f>countifs(DATABASE!E:E,B21)</f>
        <v>6</v>
      </c>
    </row>
    <row r="22">
      <c r="A22" s="33">
        <v>19.0</v>
      </c>
      <c r="B22" s="36">
        <v>5.310105869E9</v>
      </c>
      <c r="C22" s="35" t="s">
        <v>608</v>
      </c>
      <c r="D22" s="14" t="str">
        <f>if(countifs(DATABASE!I:I,"Bảo trì",DATABASE!E:E,B22,DATABASE!A:A,"&gt;01/03/2021",DATABASE!A:A,"&lt;01/06/2021")&gt;=1,"Đã bảo trì","")</f>
        <v>Đã bảo trì</v>
      </c>
      <c r="E22" s="14" t="str">
        <f>if(countifs(DATABASE!I:I,"Bảo trì",DATABASE!E:E,B22,DATABASE!A:A,"&gt;01/06/2021",DATABASE!A:A,"&lt;01/09/2021")&gt;=1,"Đã bảo trì","")</f>
        <v/>
      </c>
      <c r="F22" s="14">
        <f>countifs(DATABASE!E:E,B22)</f>
        <v>2</v>
      </c>
    </row>
    <row r="23">
      <c r="A23" s="33">
        <v>20.0</v>
      </c>
      <c r="B23" s="36">
        <v>5.310107227E9</v>
      </c>
      <c r="C23" s="35" t="s">
        <v>609</v>
      </c>
      <c r="D23" s="14" t="str">
        <f>if(countifs(DATABASE!I:I,"Bảo trì",DATABASE!E:E,B23,DATABASE!A:A,"&gt;01/03/2021",DATABASE!A:A,"&lt;01/06/2021")&gt;=1,"Đã bảo trì","")</f>
        <v/>
      </c>
      <c r="E23" s="14" t="str">
        <f>if(countifs(DATABASE!I:I,"Bảo trì",DATABASE!E:E,B23,DATABASE!A:A,"&gt;01/06/2021",DATABASE!A:A,"&lt;01/09/2021")&gt;=1,"Đã bảo trì","")</f>
        <v/>
      </c>
      <c r="F23" s="14">
        <f>countifs(DATABASE!E:E,B23)</f>
        <v>0</v>
      </c>
    </row>
    <row r="24">
      <c r="A24" s="33">
        <v>21.0</v>
      </c>
      <c r="B24" s="36">
        <v>5.310105484E9</v>
      </c>
      <c r="C24" s="35" t="s">
        <v>610</v>
      </c>
      <c r="D24" s="14" t="str">
        <f>if(countifs(DATABASE!I:I,"Bảo trì",DATABASE!E:E,B24,DATABASE!A:A,"&gt;01/03/2021",DATABASE!A:A,"&lt;01/06/2021")&gt;=1,"Đã bảo trì","")</f>
        <v>Đã bảo trì</v>
      </c>
      <c r="E24" s="14" t="str">
        <f>if(countifs(DATABASE!I:I,"Bảo trì",DATABASE!E:E,B24,DATABASE!A:A,"&gt;01/06/2021",DATABASE!A:A,"&lt;01/09/2021")&gt;=1,"Đã bảo trì","")</f>
        <v/>
      </c>
      <c r="F24" s="14">
        <f>countifs(DATABASE!E:E,B24)</f>
        <v>2</v>
      </c>
    </row>
    <row r="25">
      <c r="A25" s="33">
        <v>22.0</v>
      </c>
      <c r="B25" s="36">
        <v>5.310106147E9</v>
      </c>
      <c r="C25" s="35" t="s">
        <v>611</v>
      </c>
      <c r="D25" s="14" t="str">
        <f>if(countifs(DATABASE!I:I,"Bảo trì",DATABASE!E:E,B25,DATABASE!A:A,"&gt;01/03/2021",DATABASE!A:A,"&lt;01/06/2021")&gt;=1,"Đã bảo trì","")</f>
        <v/>
      </c>
      <c r="E25" s="14" t="str">
        <f>if(countifs(DATABASE!I:I,"Bảo trì",DATABASE!E:E,B25,DATABASE!A:A,"&gt;01/06/2021",DATABASE!A:A,"&lt;01/09/2021")&gt;=1,"Đã bảo trì","")</f>
        <v/>
      </c>
      <c r="F25" s="14">
        <f>countifs(DATABASE!E:E,B25)</f>
        <v>0</v>
      </c>
    </row>
    <row r="26">
      <c r="A26" s="33">
        <v>23.0</v>
      </c>
      <c r="B26" s="36">
        <v>5.310105348E9</v>
      </c>
      <c r="C26" s="35" t="s">
        <v>612</v>
      </c>
      <c r="D26" s="14" t="str">
        <f>if(countifs(DATABASE!I:I,"Bảo trì",DATABASE!E:E,B26,DATABASE!A:A,"&gt;01/03/2021",DATABASE!A:A,"&lt;01/06/2021")&gt;=1,"Đã bảo trì","")</f>
        <v/>
      </c>
      <c r="E26" s="14" t="str">
        <f>if(countifs(DATABASE!I:I,"Bảo trì",DATABASE!E:E,B26,DATABASE!A:A,"&gt;01/06/2021",DATABASE!A:A,"&lt;01/09/2021")&gt;=1,"Đã bảo trì","")</f>
        <v/>
      </c>
      <c r="F26" s="14">
        <f>countifs(DATABASE!E:E,B26)</f>
        <v>2</v>
      </c>
    </row>
    <row r="27">
      <c r="A27" s="33">
        <v>24.0</v>
      </c>
      <c r="B27" s="36">
        <v>5.310107122E9</v>
      </c>
      <c r="C27" s="35" t="s">
        <v>613</v>
      </c>
      <c r="D27" s="14" t="str">
        <f>if(countifs(DATABASE!I:I,"Bảo trì",DATABASE!E:E,B27,DATABASE!A:A,"&gt;01/03/2021",DATABASE!A:A,"&lt;01/06/2021")&gt;=1,"Đã bảo trì","")</f>
        <v/>
      </c>
      <c r="E27" s="14" t="str">
        <f>if(countifs(DATABASE!I:I,"Bảo trì",DATABASE!E:E,B27,DATABASE!A:A,"&gt;01/06/2021",DATABASE!A:A,"&lt;01/09/2021")&gt;=1,"Đã bảo trì","")</f>
        <v>Đã bảo trì</v>
      </c>
      <c r="F27" s="14">
        <f>countifs(DATABASE!E:E,B27)</f>
        <v>2</v>
      </c>
    </row>
    <row r="28">
      <c r="A28" s="33">
        <v>25.0</v>
      </c>
      <c r="B28" s="36">
        <v>5.310106969E9</v>
      </c>
      <c r="C28" s="35" t="s">
        <v>614</v>
      </c>
      <c r="D28" s="14" t="str">
        <f>if(countifs(DATABASE!I:I,"Bảo trì",DATABASE!E:E,B28,DATABASE!A:A,"&gt;01/03/2021",DATABASE!A:A,"&lt;01/06/2021")&gt;=1,"Đã bảo trì","")</f>
        <v>Đã bảo trì</v>
      </c>
      <c r="E28" s="14" t="str">
        <f>if(countifs(DATABASE!I:I,"Bảo trì",DATABASE!E:E,B28,DATABASE!A:A,"&gt;01/06/2021",DATABASE!A:A,"&lt;01/09/2021")&gt;=1,"Đã bảo trì","")</f>
        <v/>
      </c>
      <c r="F28" s="14">
        <f>countifs(DATABASE!E:E,B28)</f>
        <v>2</v>
      </c>
    </row>
    <row r="29">
      <c r="A29" s="33">
        <v>26.0</v>
      </c>
      <c r="B29" s="36">
        <v>5.310105333E9</v>
      </c>
      <c r="C29" s="35" t="s">
        <v>615</v>
      </c>
      <c r="D29" s="14" t="str">
        <f>if(countifs(DATABASE!I:I,"Bảo trì",DATABASE!E:E,B29,DATABASE!A:A,"&gt;01/03/2021",DATABASE!A:A,"&lt;01/06/2021")&gt;=1,"Đã bảo trì","")</f>
        <v>Đã bảo trì</v>
      </c>
      <c r="E29" s="14" t="str">
        <f>if(countifs(DATABASE!I:I,"Bảo trì",DATABASE!E:E,B29,DATABASE!A:A,"&gt;01/06/2021",DATABASE!A:A,"&lt;01/09/2021")&gt;=1,"Đã bảo trì","")</f>
        <v/>
      </c>
      <c r="F29" s="14">
        <f>countifs(DATABASE!E:E,B29)</f>
        <v>2</v>
      </c>
    </row>
    <row r="30">
      <c r="A30" s="33">
        <v>27.0</v>
      </c>
      <c r="B30" s="36">
        <v>5.310106946E9</v>
      </c>
      <c r="C30" s="35" t="s">
        <v>616</v>
      </c>
      <c r="D30" s="14" t="str">
        <f>if(countifs(DATABASE!I:I,"Bảo trì",DATABASE!E:E,B30,DATABASE!A:A,"&gt;01/03/2021",DATABASE!A:A,"&lt;01/06/2021")&gt;=1,"Đã bảo trì","")</f>
        <v/>
      </c>
      <c r="E30" s="14" t="str">
        <f>if(countifs(DATABASE!I:I,"Bảo trì",DATABASE!E:E,B30,DATABASE!A:A,"&gt;01/06/2021",DATABASE!A:A,"&lt;01/09/2021")&gt;=1,"Đã bảo trì","")</f>
        <v/>
      </c>
      <c r="F30" s="14">
        <f>countifs(DATABASE!E:E,B30)</f>
        <v>0</v>
      </c>
    </row>
    <row r="31">
      <c r="A31" s="33">
        <v>28.0</v>
      </c>
      <c r="B31" s="36">
        <v>5.310105339E9</v>
      </c>
      <c r="C31" s="35" t="s">
        <v>617</v>
      </c>
      <c r="D31" s="14" t="str">
        <f>if(countifs(DATABASE!I:I,"Bảo trì",DATABASE!E:E,B31,DATABASE!A:A,"&gt;01/03/2021",DATABASE!A:A,"&lt;01/06/2021")&gt;=1,"Đã bảo trì","")</f>
        <v>Đã bảo trì</v>
      </c>
      <c r="E31" s="14" t="str">
        <f>if(countifs(DATABASE!I:I,"Bảo trì",DATABASE!E:E,B31,DATABASE!A:A,"&gt;01/06/2021",DATABASE!A:A,"&lt;01/09/2021")&gt;=1,"Đã bảo trì","")</f>
        <v/>
      </c>
      <c r="F31" s="14">
        <f>countifs(DATABASE!E:E,B31)</f>
        <v>3</v>
      </c>
    </row>
    <row r="32">
      <c r="A32" s="33">
        <v>29.0</v>
      </c>
      <c r="B32" s="36">
        <v>5.310107143E9</v>
      </c>
      <c r="C32" s="35" t="s">
        <v>618</v>
      </c>
      <c r="D32" s="14" t="str">
        <f>if(countifs(DATABASE!I:I,"Bảo trì",DATABASE!E:E,B32,DATABASE!A:A,"&gt;01/03/2021",DATABASE!A:A,"&lt;01/06/2021")&gt;=1,"Đã bảo trì","")</f>
        <v/>
      </c>
      <c r="E32" s="14" t="str">
        <f>if(countifs(DATABASE!I:I,"Bảo trì",DATABASE!E:E,B32,DATABASE!A:A,"&gt;01/06/2021",DATABASE!A:A,"&lt;01/09/2021")&gt;=1,"Đã bảo trì","")</f>
        <v>Đã bảo trì</v>
      </c>
      <c r="F32" s="14">
        <f>countifs(DATABASE!E:E,B32)</f>
        <v>3</v>
      </c>
    </row>
    <row r="33">
      <c r="A33" s="33">
        <v>30.0</v>
      </c>
      <c r="B33" s="36">
        <v>5.310105833E9</v>
      </c>
      <c r="C33" s="35" t="s">
        <v>619</v>
      </c>
      <c r="D33" s="14" t="str">
        <f>if(countifs(DATABASE!I:I,"Bảo trì",DATABASE!E:E,B33,DATABASE!A:A,"&gt;01/03/2021",DATABASE!A:A,"&lt;01/06/2021")&gt;=1,"Đã bảo trì","")</f>
        <v>Đã bảo trì</v>
      </c>
      <c r="E33" s="14" t="str">
        <f>if(countifs(DATABASE!I:I,"Bảo trì",DATABASE!E:E,B33,DATABASE!A:A,"&gt;01/06/2021",DATABASE!A:A,"&lt;01/09/2021")&gt;=1,"Đã bảo trì","")</f>
        <v/>
      </c>
      <c r="F33" s="14">
        <f>countifs(DATABASE!E:E,B33)</f>
        <v>8</v>
      </c>
    </row>
    <row r="34">
      <c r="A34" s="33">
        <v>31.0</v>
      </c>
      <c r="B34" s="36">
        <v>5.310105317E9</v>
      </c>
      <c r="C34" s="35" t="s">
        <v>620</v>
      </c>
      <c r="D34" s="14" t="str">
        <f>if(countifs(DATABASE!I:I,"Bảo trì",DATABASE!E:E,B34,DATABASE!A:A,"&gt;01/03/2021",DATABASE!A:A,"&lt;01/06/2021")&gt;=1,"Đã bảo trì","")</f>
        <v>Đã bảo trì</v>
      </c>
      <c r="E34" s="14" t="str">
        <f>if(countifs(DATABASE!I:I,"Bảo trì",DATABASE!E:E,B34,DATABASE!A:A,"&gt;01/06/2021",DATABASE!A:A,"&lt;01/09/2021")&gt;=1,"Đã bảo trì","")</f>
        <v/>
      </c>
      <c r="F34" s="14">
        <f>countifs(DATABASE!E:E,B34)</f>
        <v>4</v>
      </c>
    </row>
    <row r="35">
      <c r="A35" s="33">
        <v>32.0</v>
      </c>
      <c r="B35" s="36">
        <v>5.310106144E9</v>
      </c>
      <c r="C35" s="35" t="s">
        <v>621</v>
      </c>
      <c r="D35" s="14" t="str">
        <f>if(countifs(DATABASE!I:I,"Bảo trì",DATABASE!E:E,B35,DATABASE!A:A,"&gt;01/03/2021",DATABASE!A:A,"&lt;01/06/2021")&gt;=1,"Đã bảo trì","")</f>
        <v/>
      </c>
      <c r="E35" s="14" t="str">
        <f>if(countifs(DATABASE!I:I,"Bảo trì",DATABASE!E:E,B35,DATABASE!A:A,"&gt;01/06/2021",DATABASE!A:A,"&lt;01/09/2021")&gt;=1,"Đã bảo trì","")</f>
        <v/>
      </c>
      <c r="F35" s="14">
        <f>countifs(DATABASE!E:E,B35)</f>
        <v>1</v>
      </c>
    </row>
    <row r="36">
      <c r="A36" s="33">
        <v>33.0</v>
      </c>
      <c r="B36" s="36">
        <v>5.310106091E9</v>
      </c>
      <c r="C36" s="35" t="s">
        <v>622</v>
      </c>
      <c r="D36" s="14" t="str">
        <f>if(countifs(DATABASE!I:I,"Bảo trì",DATABASE!E:E,B36,DATABASE!A:A,"&gt;01/03/2021",DATABASE!A:A,"&lt;01/06/2021")&gt;=1,"Đã bảo trì","")</f>
        <v/>
      </c>
      <c r="E36" s="14" t="str">
        <f>if(countifs(DATABASE!I:I,"Bảo trì",DATABASE!E:E,B36,DATABASE!A:A,"&gt;01/06/2021",DATABASE!A:A,"&lt;01/09/2021")&gt;=1,"Đã bảo trì","")</f>
        <v/>
      </c>
      <c r="F36" s="14">
        <f>countifs(DATABASE!E:E,B36)</f>
        <v>2</v>
      </c>
    </row>
    <row r="37">
      <c r="A37" s="33">
        <v>34.0</v>
      </c>
      <c r="B37" s="36">
        <v>5.310105856E9</v>
      </c>
      <c r="C37" s="35" t="s">
        <v>623</v>
      </c>
      <c r="D37" s="14" t="str">
        <f>if(countifs(DATABASE!I:I,"Bảo trì",DATABASE!E:E,B37,DATABASE!A:A,"&gt;01/03/2021",DATABASE!A:A,"&lt;01/06/2021")&gt;=1,"Đã bảo trì","")</f>
        <v/>
      </c>
      <c r="E37" s="14" t="str">
        <f>if(countifs(DATABASE!I:I,"Bảo trì",DATABASE!E:E,B37,DATABASE!A:A,"&gt;01/06/2021",DATABASE!A:A,"&lt;01/09/2021")&gt;=1,"Đã bảo trì","")</f>
        <v/>
      </c>
      <c r="F37" s="14">
        <f>countifs(DATABASE!E:E,B37)</f>
        <v>6</v>
      </c>
    </row>
    <row r="38">
      <c r="A38" s="33">
        <v>35.0</v>
      </c>
      <c r="B38" s="36">
        <v>5.310105909E9</v>
      </c>
      <c r="C38" s="35" t="s">
        <v>624</v>
      </c>
      <c r="D38" s="14" t="str">
        <f>if(countifs(DATABASE!I:I,"Bảo trì",DATABASE!E:E,B38,DATABASE!A:A,"&gt;01/03/2021",DATABASE!A:A,"&lt;01/06/2021")&gt;=1,"Đã bảo trì","")</f>
        <v>Đã bảo trì</v>
      </c>
      <c r="E38" s="14" t="str">
        <f>if(countifs(DATABASE!I:I,"Bảo trì",DATABASE!E:E,B38,DATABASE!A:A,"&gt;01/06/2021",DATABASE!A:A,"&lt;01/09/2021")&gt;=1,"Đã bảo trì","")</f>
        <v/>
      </c>
      <c r="F38" s="14">
        <f>countifs(DATABASE!E:E,B38)</f>
        <v>2</v>
      </c>
    </row>
    <row r="39">
      <c r="A39" s="33">
        <v>36.0</v>
      </c>
      <c r="B39" s="36">
        <v>5.310107047E9</v>
      </c>
      <c r="C39" s="35" t="s">
        <v>625</v>
      </c>
      <c r="D39" s="14" t="str">
        <f>if(countifs(DATABASE!I:I,"Bảo trì",DATABASE!E:E,B39,DATABASE!A:A,"&gt;01/03/2021",DATABASE!A:A,"&lt;01/06/2021")&gt;=1,"Đã bảo trì","")</f>
        <v>Đã bảo trì</v>
      </c>
      <c r="E39" s="14" t="str">
        <f>if(countifs(DATABASE!I:I,"Bảo trì",DATABASE!E:E,B39,DATABASE!A:A,"&gt;01/06/2021",DATABASE!A:A,"&lt;01/09/2021")&gt;=1,"Đã bảo trì","")</f>
        <v/>
      </c>
      <c r="F39" s="14">
        <f>countifs(DATABASE!E:E,B39)</f>
        <v>1</v>
      </c>
    </row>
    <row r="40">
      <c r="A40" s="33">
        <v>37.0</v>
      </c>
      <c r="B40" s="36">
        <v>5.310107343E9</v>
      </c>
      <c r="C40" s="35" t="s">
        <v>626</v>
      </c>
      <c r="D40" s="14" t="str">
        <f>if(countifs(DATABASE!I:I,"Bảo trì",DATABASE!E:E,B40,DATABASE!A:A,"&gt;01/03/2021",DATABASE!A:A,"&lt;01/06/2021")&gt;=1,"Đã bảo trì","")</f>
        <v/>
      </c>
      <c r="E40" s="14" t="str">
        <f>if(countifs(DATABASE!I:I,"Bảo trì",DATABASE!E:E,B40,DATABASE!A:A,"&gt;01/06/2021",DATABASE!A:A,"&lt;01/09/2021")&gt;=1,"Đã bảo trì","")</f>
        <v/>
      </c>
      <c r="F40" s="14">
        <f>countifs(DATABASE!E:E,B40)</f>
        <v>1</v>
      </c>
    </row>
    <row r="41">
      <c r="A41" s="33">
        <v>38.0</v>
      </c>
      <c r="B41" s="36">
        <v>5.310107258E9</v>
      </c>
      <c r="C41" s="35" t="s">
        <v>627</v>
      </c>
      <c r="D41" s="14" t="str">
        <f>if(countifs(DATABASE!I:I,"Bảo trì",DATABASE!E:E,B41,DATABASE!A:A,"&gt;01/03/2021",DATABASE!A:A,"&lt;01/06/2021")&gt;=1,"Đã bảo trì","")</f>
        <v/>
      </c>
      <c r="E41" s="14" t="str">
        <f>if(countifs(DATABASE!I:I,"Bảo trì",DATABASE!E:E,B41,DATABASE!A:A,"&gt;01/06/2021",DATABASE!A:A,"&lt;01/09/2021")&gt;=1,"Đã bảo trì","")</f>
        <v/>
      </c>
      <c r="F41" s="14">
        <f>countifs(DATABASE!E:E,B41)</f>
        <v>0</v>
      </c>
    </row>
    <row r="42">
      <c r="A42" s="33">
        <v>39.0</v>
      </c>
      <c r="B42" s="36">
        <v>5.310107064E9</v>
      </c>
      <c r="C42" s="35" t="s">
        <v>628</v>
      </c>
      <c r="D42" s="14" t="str">
        <f>if(countifs(DATABASE!I:I,"Bảo trì",DATABASE!E:E,B42,DATABASE!A:A,"&gt;01/03/2021",DATABASE!A:A,"&lt;01/06/2021")&gt;=1,"Đã bảo trì","")</f>
        <v/>
      </c>
      <c r="E42" s="14" t="str">
        <f>if(countifs(DATABASE!I:I,"Bảo trì",DATABASE!E:E,B42,DATABASE!A:A,"&gt;01/06/2021",DATABASE!A:A,"&lt;01/09/2021")&gt;=1,"Đã bảo trì","")</f>
        <v/>
      </c>
      <c r="F42" s="14">
        <f>countifs(DATABASE!E:E,B42)</f>
        <v>3</v>
      </c>
    </row>
    <row r="43">
      <c r="A43" s="33">
        <v>40.0</v>
      </c>
      <c r="B43" s="36">
        <v>5.31010735E9</v>
      </c>
      <c r="C43" s="35" t="s">
        <v>629</v>
      </c>
      <c r="D43" s="14" t="str">
        <f>if(countifs(DATABASE!I:I,"Bảo trì",DATABASE!E:E,B43,DATABASE!A:A,"&gt;01/03/2021",DATABASE!A:A,"&lt;01/06/2021")&gt;=1,"Đã bảo trì","")</f>
        <v/>
      </c>
      <c r="E43" s="14" t="str">
        <f>if(countifs(DATABASE!I:I,"Bảo trì",DATABASE!E:E,B43,DATABASE!A:A,"&gt;01/06/2021",DATABASE!A:A,"&lt;01/09/2021")&gt;=1,"Đã bảo trì","")</f>
        <v/>
      </c>
      <c r="F43" s="14">
        <f>countifs(DATABASE!E:E,B43)</f>
        <v>2</v>
      </c>
    </row>
    <row r="44">
      <c r="A44" s="33">
        <v>41.0</v>
      </c>
      <c r="B44" s="36">
        <v>5.310107015E9</v>
      </c>
      <c r="C44" s="35" t="s">
        <v>630</v>
      </c>
      <c r="D44" s="14" t="str">
        <f>if(countifs(DATABASE!I:I,"Bảo trì",DATABASE!E:E,B44,DATABASE!A:A,"&gt;01/03/2021",DATABASE!A:A,"&lt;01/06/2021")&gt;=1,"Đã bảo trì","")</f>
        <v>Đã bảo trì</v>
      </c>
      <c r="E44" s="14" t="str">
        <f>if(countifs(DATABASE!I:I,"Bảo trì",DATABASE!E:E,B44,DATABASE!A:A,"&gt;01/06/2021",DATABASE!A:A,"&lt;01/09/2021")&gt;=1,"Đã bảo trì","")</f>
        <v/>
      </c>
      <c r="F44" s="14">
        <f>countifs(DATABASE!E:E,B44)</f>
        <v>3</v>
      </c>
    </row>
    <row r="45">
      <c r="A45" s="33">
        <v>42.0</v>
      </c>
      <c r="B45" s="36">
        <v>5.310107206E9</v>
      </c>
      <c r="C45" s="35" t="s">
        <v>631</v>
      </c>
      <c r="D45" s="14" t="str">
        <f>if(countifs(DATABASE!I:I,"Bảo trì",DATABASE!E:E,B45,DATABASE!A:A,"&gt;01/03/2021",DATABASE!A:A,"&lt;01/06/2021")&gt;=1,"Đã bảo trì","")</f>
        <v/>
      </c>
      <c r="E45" s="14" t="str">
        <f>if(countifs(DATABASE!I:I,"Bảo trì",DATABASE!E:E,B45,DATABASE!A:A,"&gt;01/06/2021",DATABASE!A:A,"&lt;01/09/2021")&gt;=1,"Đã bảo trì","")</f>
        <v/>
      </c>
      <c r="F45" s="14">
        <f>countifs(DATABASE!E:E,B45)</f>
        <v>1</v>
      </c>
    </row>
    <row r="46">
      <c r="A46" s="33">
        <v>43.0</v>
      </c>
      <c r="B46" s="36">
        <v>5.310106175E9</v>
      </c>
      <c r="C46" s="35" t="s">
        <v>632</v>
      </c>
      <c r="D46" s="14" t="str">
        <f>if(countifs(DATABASE!I:I,"Bảo trì",DATABASE!E:E,B46,DATABASE!A:A,"&gt;01/03/2021",DATABASE!A:A,"&lt;01/06/2021")&gt;=1,"Đã bảo trì","")</f>
        <v/>
      </c>
      <c r="E46" s="14" t="str">
        <f>if(countifs(DATABASE!I:I,"Bảo trì",DATABASE!E:E,B46,DATABASE!A:A,"&gt;01/06/2021",DATABASE!A:A,"&lt;01/09/2021")&gt;=1,"Đã bảo trì","")</f>
        <v/>
      </c>
      <c r="F46" s="14">
        <f>countifs(DATABASE!E:E,B46)</f>
        <v>0</v>
      </c>
    </row>
    <row r="47">
      <c r="A47" s="33">
        <v>44.0</v>
      </c>
      <c r="B47" s="36">
        <v>5.310106163E9</v>
      </c>
      <c r="C47" s="35" t="s">
        <v>633</v>
      </c>
      <c r="D47" s="14" t="str">
        <f>if(countifs(DATABASE!I:I,"Bảo trì",DATABASE!E:E,B47,DATABASE!A:A,"&gt;01/03/2021",DATABASE!A:A,"&lt;01/06/2021")&gt;=1,"Đã bảo trì","")</f>
        <v>Đã bảo trì</v>
      </c>
      <c r="E47" s="14" t="str">
        <f>if(countifs(DATABASE!I:I,"Bảo trì",DATABASE!E:E,B47,DATABASE!A:A,"&gt;01/06/2021",DATABASE!A:A,"&lt;01/09/2021")&gt;=1,"Đã bảo trì","")</f>
        <v/>
      </c>
      <c r="F47" s="14">
        <f>countifs(DATABASE!E:E,B47)</f>
        <v>3</v>
      </c>
    </row>
    <row r="48">
      <c r="A48" s="33">
        <v>45.0</v>
      </c>
      <c r="B48" s="36">
        <v>5.310107199E9</v>
      </c>
      <c r="C48" s="35" t="s">
        <v>634</v>
      </c>
      <c r="D48" s="14" t="str">
        <f>if(countifs(DATABASE!I:I,"Bảo trì",DATABASE!E:E,B48,DATABASE!A:A,"&gt;01/03/2021",DATABASE!A:A,"&lt;01/06/2021")&gt;=1,"Đã bảo trì","")</f>
        <v/>
      </c>
      <c r="E48" s="14" t="str">
        <f>if(countifs(DATABASE!I:I,"Bảo trì",DATABASE!E:E,B48,DATABASE!A:A,"&gt;01/06/2021",DATABASE!A:A,"&lt;01/09/2021")&gt;=1,"Đã bảo trì","")</f>
        <v/>
      </c>
      <c r="F48" s="14">
        <f>countifs(DATABASE!E:E,B48)</f>
        <v>1</v>
      </c>
    </row>
    <row r="49">
      <c r="A49" s="33">
        <v>46.0</v>
      </c>
      <c r="B49" s="36">
        <v>5.310105354E9</v>
      </c>
      <c r="C49" s="35" t="s">
        <v>635</v>
      </c>
      <c r="D49" s="14" t="str">
        <f>if(countifs(DATABASE!I:I,"Bảo trì",DATABASE!E:E,B49,DATABASE!A:A,"&gt;01/03/2021",DATABASE!A:A,"&lt;01/06/2021")&gt;=1,"Đã bảo trì","")</f>
        <v>Đã bảo trì</v>
      </c>
      <c r="E49" s="14" t="str">
        <f>if(countifs(DATABASE!I:I,"Bảo trì",DATABASE!E:E,B49,DATABASE!A:A,"&gt;01/06/2021",DATABASE!A:A,"&lt;01/09/2021")&gt;=1,"Đã bảo trì","")</f>
        <v/>
      </c>
      <c r="F49" s="14">
        <f>countifs(DATABASE!E:E,B49)</f>
        <v>2</v>
      </c>
    </row>
    <row r="50">
      <c r="A50" s="33">
        <v>47.0</v>
      </c>
      <c r="B50" s="36">
        <v>5.310105311E9</v>
      </c>
      <c r="C50" s="35" t="s">
        <v>636</v>
      </c>
      <c r="D50" s="14" t="str">
        <f>if(countifs(DATABASE!I:I,"Bảo trì",DATABASE!E:E,B50,DATABASE!A:A,"&gt;01/03/2021",DATABASE!A:A,"&lt;01/06/2021")&gt;=1,"Đã bảo trì","")</f>
        <v>Đã bảo trì</v>
      </c>
      <c r="E50" s="14" t="str">
        <f>if(countifs(DATABASE!I:I,"Bảo trì",DATABASE!E:E,B50,DATABASE!A:A,"&gt;01/06/2021",DATABASE!A:A,"&lt;01/09/2021")&gt;=1,"Đã bảo trì","")</f>
        <v>Đã bảo trì</v>
      </c>
      <c r="F50" s="14">
        <f>countifs(DATABASE!E:E,B50)</f>
        <v>2</v>
      </c>
    </row>
    <row r="51">
      <c r="A51" s="33">
        <v>48.0</v>
      </c>
      <c r="B51" s="36">
        <v>5.310106194E9</v>
      </c>
      <c r="C51" s="35" t="s">
        <v>637</v>
      </c>
      <c r="D51" s="14" t="str">
        <f>if(countifs(DATABASE!I:I,"Bảo trì",DATABASE!E:E,B51,DATABASE!A:A,"&gt;01/03/2021",DATABASE!A:A,"&lt;01/06/2021")&gt;=1,"Đã bảo trì","")</f>
        <v>Đã bảo trì</v>
      </c>
      <c r="E51" s="14" t="str">
        <f>if(countifs(DATABASE!I:I,"Bảo trì",DATABASE!E:E,B51,DATABASE!A:A,"&gt;01/06/2021",DATABASE!A:A,"&lt;01/09/2021")&gt;=1,"Đã bảo trì","")</f>
        <v/>
      </c>
      <c r="F51" s="14">
        <f>countifs(DATABASE!E:E,B51)</f>
        <v>2</v>
      </c>
    </row>
    <row r="52">
      <c r="A52" s="33">
        <v>49.0</v>
      </c>
      <c r="B52" s="36">
        <v>5.31010705E9</v>
      </c>
      <c r="C52" s="35" t="s">
        <v>638</v>
      </c>
      <c r="D52" s="14" t="str">
        <f>if(countifs(DATABASE!I:I,"Bảo trì",DATABASE!E:E,B52,DATABASE!A:A,"&gt;01/03/2021",DATABASE!A:A,"&lt;01/06/2021")&gt;=1,"Đã bảo trì","")</f>
        <v/>
      </c>
      <c r="E52" s="14" t="str">
        <f>if(countifs(DATABASE!I:I,"Bảo trì",DATABASE!E:E,B52,DATABASE!A:A,"&gt;01/06/2021",DATABASE!A:A,"&lt;01/09/2021")&gt;=1,"Đã bảo trì","")</f>
        <v>Đã bảo trì</v>
      </c>
      <c r="F52" s="14">
        <f>countifs(DATABASE!E:E,B52)</f>
        <v>1</v>
      </c>
    </row>
    <row r="53">
      <c r="A53" s="33">
        <v>50.0</v>
      </c>
      <c r="B53" s="36">
        <v>5.310107167E9</v>
      </c>
      <c r="C53" s="35" t="s">
        <v>639</v>
      </c>
      <c r="D53" s="14" t="str">
        <f>if(countifs(DATABASE!I:I,"Bảo trì",DATABASE!E:E,B53,DATABASE!A:A,"&gt;01/03/2021",DATABASE!A:A,"&lt;01/06/2021")&gt;=1,"Đã bảo trì","")</f>
        <v/>
      </c>
      <c r="E53" s="14" t="str">
        <f>if(countifs(DATABASE!I:I,"Bảo trì",DATABASE!E:E,B53,DATABASE!A:A,"&gt;01/06/2021",DATABASE!A:A,"&lt;01/09/2021")&gt;=1,"Đã bảo trì","")</f>
        <v/>
      </c>
      <c r="F53" s="14">
        <f>countifs(DATABASE!E:E,B53)</f>
        <v>3</v>
      </c>
    </row>
    <row r="54">
      <c r="A54" s="33">
        <v>51.0</v>
      </c>
      <c r="B54" s="36">
        <v>5.310107327E9</v>
      </c>
      <c r="C54" s="35" t="s">
        <v>640</v>
      </c>
      <c r="D54" s="14" t="str">
        <f>if(countifs(DATABASE!I:I,"Bảo trì",DATABASE!E:E,B54,DATABASE!A:A,"&gt;01/03/2021",DATABASE!A:A,"&lt;01/06/2021")&gt;=1,"Đã bảo trì","")</f>
        <v/>
      </c>
      <c r="E54" s="14" t="str">
        <f>if(countifs(DATABASE!I:I,"Bảo trì",DATABASE!E:E,B54,DATABASE!A:A,"&gt;01/06/2021",DATABASE!A:A,"&lt;01/09/2021")&gt;=1,"Đã bảo trì","")</f>
        <v/>
      </c>
      <c r="F54" s="14">
        <f>countifs(DATABASE!E:E,B54)</f>
        <v>2</v>
      </c>
    </row>
    <row r="55">
      <c r="A55" s="33">
        <v>52.0</v>
      </c>
      <c r="B55" s="36">
        <v>5.310106165E9</v>
      </c>
      <c r="C55" s="35" t="s">
        <v>641</v>
      </c>
      <c r="D55" s="14" t="str">
        <f>if(countifs(DATABASE!I:I,"Bảo trì",DATABASE!E:E,B55,DATABASE!A:A,"&gt;01/03/2021",DATABASE!A:A,"&lt;01/06/2021")&gt;=1,"Đã bảo trì","")</f>
        <v/>
      </c>
      <c r="E55" s="14" t="str">
        <f>if(countifs(DATABASE!I:I,"Bảo trì",DATABASE!E:E,B55,DATABASE!A:A,"&gt;01/06/2021",DATABASE!A:A,"&lt;01/09/2021")&gt;=1,"Đã bảo trì","")</f>
        <v/>
      </c>
      <c r="F55" s="14">
        <f>countifs(DATABASE!E:E,B55)</f>
        <v>1</v>
      </c>
    </row>
    <row r="56">
      <c r="A56" s="33">
        <v>53.0</v>
      </c>
      <c r="B56" s="36">
        <v>5.310105466E9</v>
      </c>
      <c r="C56" s="35" t="s">
        <v>642</v>
      </c>
      <c r="D56" s="14" t="str">
        <f>if(countifs(DATABASE!I:I,"Bảo trì",DATABASE!E:E,B56,DATABASE!A:A,"&gt;01/03/2021",DATABASE!A:A,"&lt;01/06/2021")&gt;=1,"Đã bảo trì","")</f>
        <v/>
      </c>
      <c r="E56" s="14" t="str">
        <f>if(countifs(DATABASE!I:I,"Bảo trì",DATABASE!E:E,B56,DATABASE!A:A,"&gt;01/06/2021",DATABASE!A:A,"&lt;01/09/2021")&gt;=1,"Đã bảo trì","")</f>
        <v/>
      </c>
      <c r="F56" s="14">
        <f>countifs(DATABASE!E:E,B56)</f>
        <v>1</v>
      </c>
    </row>
    <row r="57">
      <c r="A57" s="33">
        <v>54.0</v>
      </c>
      <c r="B57" s="36">
        <v>5.310106119E9</v>
      </c>
      <c r="C57" s="35" t="s">
        <v>643</v>
      </c>
      <c r="D57" s="14" t="str">
        <f>if(countifs(DATABASE!I:I,"Bảo trì",DATABASE!E:E,B57,DATABASE!A:A,"&gt;01/03/2021",DATABASE!A:A,"&lt;01/06/2021")&gt;=1,"Đã bảo trì","")</f>
        <v/>
      </c>
      <c r="E57" s="14" t="str">
        <f>if(countifs(DATABASE!I:I,"Bảo trì",DATABASE!E:E,B57,DATABASE!A:A,"&gt;01/06/2021",DATABASE!A:A,"&lt;01/09/2021")&gt;=1,"Đã bảo trì","")</f>
        <v/>
      </c>
      <c r="F57" s="14">
        <f>countifs(DATABASE!E:E,B57)</f>
        <v>2</v>
      </c>
    </row>
    <row r="58">
      <c r="A58" s="33">
        <v>55.0</v>
      </c>
      <c r="B58" s="36">
        <v>5.310106185E9</v>
      </c>
      <c r="C58" s="35" t="s">
        <v>644</v>
      </c>
      <c r="D58" s="14" t="str">
        <f>if(countifs(DATABASE!I:I,"Bảo trì",DATABASE!E:E,B58,DATABASE!A:A,"&gt;01/03/2021",DATABASE!A:A,"&lt;01/06/2021")&gt;=1,"Đã bảo trì","")</f>
        <v/>
      </c>
      <c r="E58" s="14" t="str">
        <f>if(countifs(DATABASE!I:I,"Bảo trì",DATABASE!E:E,B58,DATABASE!A:A,"&gt;01/06/2021",DATABASE!A:A,"&lt;01/09/2021")&gt;=1,"Đã bảo trì","")</f>
        <v>Đã bảo trì</v>
      </c>
      <c r="F58" s="14">
        <f>countifs(DATABASE!E:E,B58)</f>
        <v>3</v>
      </c>
    </row>
    <row r="59">
      <c r="A59" s="33">
        <v>56.0</v>
      </c>
      <c r="B59" s="36">
        <v>5.310106134E9</v>
      </c>
      <c r="C59" s="35" t="s">
        <v>645</v>
      </c>
      <c r="D59" s="14" t="str">
        <f>if(countifs(DATABASE!I:I,"Bảo trì",DATABASE!E:E,B59,DATABASE!A:A,"&gt;01/03/2021",DATABASE!A:A,"&lt;01/06/2021")&gt;=1,"Đã bảo trì","")</f>
        <v/>
      </c>
      <c r="E59" s="14" t="str">
        <f>if(countifs(DATABASE!I:I,"Bảo trì",DATABASE!E:E,B59,DATABASE!A:A,"&gt;01/06/2021",DATABASE!A:A,"&lt;01/09/2021")&gt;=1,"Đã bảo trì","")</f>
        <v/>
      </c>
      <c r="F59" s="14">
        <f>countifs(DATABASE!E:E,B59)</f>
        <v>1</v>
      </c>
    </row>
    <row r="60">
      <c r="A60" s="33">
        <v>57.0</v>
      </c>
      <c r="B60" s="36">
        <v>5.310106099E9</v>
      </c>
      <c r="C60" s="35" t="s">
        <v>646</v>
      </c>
      <c r="D60" s="14" t="str">
        <f>if(countifs(DATABASE!I:I,"Bảo trì",DATABASE!E:E,B60,DATABASE!A:A,"&gt;01/03/2021",DATABASE!A:A,"&lt;01/06/2021")&gt;=1,"Đã bảo trì","")</f>
        <v>Đã bảo trì</v>
      </c>
      <c r="E60" s="14" t="str">
        <f>if(countifs(DATABASE!I:I,"Bảo trì",DATABASE!E:E,B60,DATABASE!A:A,"&gt;01/06/2021",DATABASE!A:A,"&lt;01/09/2021")&gt;=1,"Đã bảo trì","")</f>
        <v/>
      </c>
      <c r="F60" s="14">
        <f>countifs(DATABASE!E:E,B60)</f>
        <v>1</v>
      </c>
    </row>
    <row r="61">
      <c r="A61" s="33">
        <v>58.0</v>
      </c>
      <c r="B61" s="36">
        <v>5.310107291E9</v>
      </c>
      <c r="C61" s="35" t="s">
        <v>647</v>
      </c>
      <c r="D61" s="14" t="str">
        <f>if(countifs(DATABASE!I:I,"Bảo trì",DATABASE!E:E,B61,DATABASE!A:A,"&gt;01/03/2021",DATABASE!A:A,"&lt;01/06/2021")&gt;=1,"Đã bảo trì","")</f>
        <v/>
      </c>
      <c r="E61" s="14" t="str">
        <f>if(countifs(DATABASE!I:I,"Bảo trì",DATABASE!E:E,B61,DATABASE!A:A,"&gt;01/06/2021",DATABASE!A:A,"&lt;01/09/2021")&gt;=1,"Đã bảo trì","")</f>
        <v/>
      </c>
      <c r="F61" s="14">
        <f>countifs(DATABASE!E:E,B61)</f>
        <v>0</v>
      </c>
    </row>
    <row r="62">
      <c r="A62" s="33">
        <v>59.0</v>
      </c>
      <c r="B62" s="36">
        <v>5.310106996E9</v>
      </c>
      <c r="C62" s="35" t="s">
        <v>648</v>
      </c>
      <c r="D62" s="14" t="str">
        <f>if(countifs(DATABASE!I:I,"Bảo trì",DATABASE!E:E,B62,DATABASE!A:A,"&gt;01/03/2021",DATABASE!A:A,"&lt;01/06/2021")&gt;=1,"Đã bảo trì","")</f>
        <v/>
      </c>
      <c r="E62" s="14" t="str">
        <f>if(countifs(DATABASE!I:I,"Bảo trì",DATABASE!E:E,B62,DATABASE!A:A,"&gt;01/06/2021",DATABASE!A:A,"&lt;01/09/2021")&gt;=1,"Đã bảo trì","")</f>
        <v/>
      </c>
      <c r="F62" s="14">
        <f>countifs(DATABASE!E:E,B62)</f>
        <v>0</v>
      </c>
    </row>
    <row r="63">
      <c r="A63" s="33">
        <v>60.0</v>
      </c>
      <c r="B63" s="36">
        <v>5.310107346E9</v>
      </c>
      <c r="C63" s="35" t="s">
        <v>649</v>
      </c>
      <c r="D63" s="14" t="str">
        <f>if(countifs(DATABASE!I:I,"Bảo trì",DATABASE!E:E,B63,DATABASE!A:A,"&gt;01/03/2021",DATABASE!A:A,"&lt;01/06/2021")&gt;=1,"Đã bảo trì","")</f>
        <v/>
      </c>
      <c r="E63" s="14" t="str">
        <f>if(countifs(DATABASE!I:I,"Bảo trì",DATABASE!E:E,B63,DATABASE!A:A,"&gt;01/06/2021",DATABASE!A:A,"&lt;01/09/2021")&gt;=1,"Đã bảo trì","")</f>
        <v/>
      </c>
      <c r="F63" s="14">
        <f>countifs(DATABASE!E:E,B63)</f>
        <v>0</v>
      </c>
    </row>
    <row r="64">
      <c r="A64" s="37"/>
      <c r="B64" s="37"/>
      <c r="C64" s="32"/>
    </row>
    <row r="65">
      <c r="A65" s="37"/>
      <c r="B65" s="37"/>
      <c r="C65" s="32"/>
    </row>
    <row r="66">
      <c r="A66" s="37"/>
      <c r="B66" s="37"/>
      <c r="C66" s="32"/>
    </row>
    <row r="67">
      <c r="A67" s="37"/>
      <c r="B67" s="37"/>
      <c r="C67" s="32"/>
    </row>
    <row r="68">
      <c r="A68" s="37"/>
      <c r="B68" s="37"/>
      <c r="C68" s="32"/>
    </row>
    <row r="69">
      <c r="A69" s="37"/>
      <c r="B69" s="37"/>
      <c r="C69" s="32"/>
    </row>
    <row r="70">
      <c r="A70" s="37"/>
      <c r="B70" s="37"/>
      <c r="C70" s="32"/>
    </row>
    <row r="71">
      <c r="A71" s="37"/>
      <c r="B71" s="37"/>
      <c r="C71" s="32"/>
    </row>
    <row r="72">
      <c r="A72" s="37"/>
      <c r="B72" s="37"/>
      <c r="C72" s="32"/>
    </row>
    <row r="73">
      <c r="A73" s="37"/>
      <c r="B73" s="37"/>
      <c r="C73" s="32"/>
    </row>
    <row r="74">
      <c r="A74" s="37"/>
      <c r="B74" s="37"/>
      <c r="C74" s="32"/>
    </row>
    <row r="75">
      <c r="A75" s="37"/>
      <c r="B75" s="37"/>
      <c r="C75" s="32"/>
    </row>
    <row r="76">
      <c r="A76" s="37"/>
      <c r="B76" s="37"/>
      <c r="C76" s="32"/>
    </row>
    <row r="77">
      <c r="A77" s="37"/>
      <c r="B77" s="37"/>
      <c r="C77" s="32"/>
    </row>
    <row r="78">
      <c r="A78" s="37"/>
      <c r="B78" s="37"/>
      <c r="C78" s="32"/>
    </row>
    <row r="79">
      <c r="A79" s="37"/>
      <c r="B79" s="37"/>
      <c r="C79" s="32"/>
    </row>
    <row r="80">
      <c r="A80" s="37"/>
      <c r="B80" s="37"/>
      <c r="C80" s="32"/>
    </row>
    <row r="81">
      <c r="A81" s="37"/>
      <c r="B81" s="37"/>
      <c r="C81" s="32"/>
    </row>
    <row r="82">
      <c r="A82" s="37"/>
      <c r="B82" s="37"/>
      <c r="C82" s="32"/>
    </row>
    <row r="83">
      <c r="A83" s="37"/>
      <c r="B83" s="37"/>
      <c r="C83" s="32"/>
    </row>
    <row r="84">
      <c r="A84" s="37"/>
      <c r="B84" s="37"/>
      <c r="C84" s="32"/>
    </row>
    <row r="85">
      <c r="A85" s="37"/>
      <c r="B85" s="37"/>
      <c r="C85" s="32"/>
    </row>
    <row r="86">
      <c r="A86" s="37"/>
      <c r="B86" s="37"/>
      <c r="C86" s="32"/>
    </row>
    <row r="87">
      <c r="A87" s="37"/>
      <c r="B87" s="37"/>
      <c r="C87" s="32"/>
    </row>
    <row r="88">
      <c r="A88" s="37"/>
      <c r="B88" s="37"/>
      <c r="C88" s="32"/>
    </row>
    <row r="89">
      <c r="A89" s="37"/>
      <c r="B89" s="37"/>
      <c r="C89" s="32"/>
    </row>
    <row r="90">
      <c r="A90" s="37"/>
      <c r="B90" s="37"/>
      <c r="C90" s="32"/>
    </row>
    <row r="91">
      <c r="A91" s="37"/>
      <c r="B91" s="37"/>
      <c r="C91" s="32"/>
    </row>
    <row r="92">
      <c r="A92" s="37"/>
      <c r="B92" s="37"/>
      <c r="C92" s="32"/>
    </row>
    <row r="93">
      <c r="A93" s="37"/>
      <c r="B93" s="37"/>
      <c r="C93" s="32"/>
    </row>
    <row r="94">
      <c r="A94" s="37"/>
      <c r="B94" s="37"/>
      <c r="C94" s="32"/>
    </row>
    <row r="95">
      <c r="A95" s="37"/>
      <c r="B95" s="37"/>
      <c r="C95" s="32"/>
    </row>
    <row r="96">
      <c r="A96" s="37"/>
      <c r="B96" s="37"/>
      <c r="C96" s="32"/>
    </row>
    <row r="97">
      <c r="A97" s="37"/>
      <c r="B97" s="37"/>
      <c r="C97" s="32"/>
    </row>
    <row r="98">
      <c r="A98" s="37"/>
      <c r="B98" s="37"/>
      <c r="C98" s="32"/>
    </row>
    <row r="99">
      <c r="A99" s="37"/>
      <c r="B99" s="37"/>
      <c r="C99" s="32"/>
    </row>
    <row r="100">
      <c r="A100" s="37"/>
      <c r="B100" s="37"/>
      <c r="C100" s="32"/>
    </row>
    <row r="101">
      <c r="A101" s="37"/>
      <c r="B101" s="37"/>
      <c r="C101" s="32"/>
    </row>
    <row r="102">
      <c r="A102" s="37"/>
      <c r="B102" s="37"/>
      <c r="C102" s="32"/>
    </row>
    <row r="103">
      <c r="A103" s="37"/>
      <c r="B103" s="37"/>
      <c r="C103" s="32"/>
    </row>
    <row r="104">
      <c r="A104" s="37"/>
      <c r="B104" s="37"/>
      <c r="C104" s="32"/>
    </row>
    <row r="105">
      <c r="A105" s="37"/>
      <c r="B105" s="37"/>
      <c r="C105" s="32"/>
    </row>
    <row r="106">
      <c r="A106" s="37"/>
      <c r="B106" s="37"/>
      <c r="C106" s="32"/>
    </row>
    <row r="107">
      <c r="A107" s="37"/>
      <c r="B107" s="37"/>
      <c r="C107" s="32"/>
    </row>
    <row r="108">
      <c r="A108" s="37"/>
      <c r="B108" s="37"/>
      <c r="C108" s="32"/>
    </row>
    <row r="109">
      <c r="A109" s="37"/>
      <c r="B109" s="37"/>
      <c r="C109" s="32"/>
    </row>
    <row r="110">
      <c r="A110" s="37"/>
      <c r="B110" s="37"/>
      <c r="C110" s="32"/>
    </row>
    <row r="111">
      <c r="A111" s="37"/>
      <c r="B111" s="37"/>
      <c r="C111" s="32"/>
    </row>
    <row r="112">
      <c r="A112" s="37"/>
      <c r="B112" s="37"/>
      <c r="C112" s="32"/>
    </row>
    <row r="113">
      <c r="A113" s="37"/>
      <c r="B113" s="37"/>
      <c r="C113" s="32"/>
    </row>
    <row r="114">
      <c r="A114" s="37"/>
      <c r="B114" s="37"/>
      <c r="C114" s="32"/>
    </row>
    <row r="115">
      <c r="A115" s="37"/>
      <c r="B115" s="37"/>
      <c r="C115" s="32"/>
    </row>
    <row r="116">
      <c r="A116" s="37"/>
      <c r="B116" s="37"/>
      <c r="C116" s="32"/>
    </row>
    <row r="117">
      <c r="A117" s="37"/>
      <c r="B117" s="37"/>
      <c r="C117" s="32"/>
    </row>
    <row r="118">
      <c r="A118" s="37"/>
      <c r="B118" s="37"/>
      <c r="C118" s="32"/>
    </row>
    <row r="119">
      <c r="A119" s="37"/>
      <c r="B119" s="37"/>
      <c r="C119" s="32"/>
    </row>
    <row r="120">
      <c r="A120" s="37"/>
      <c r="B120" s="37"/>
      <c r="C120" s="32"/>
    </row>
    <row r="121">
      <c r="A121" s="37"/>
      <c r="B121" s="37"/>
      <c r="C121" s="32"/>
    </row>
    <row r="122">
      <c r="A122" s="37"/>
      <c r="B122" s="37"/>
      <c r="C122" s="32"/>
    </row>
    <row r="123">
      <c r="A123" s="37"/>
      <c r="B123" s="37"/>
      <c r="C123" s="32"/>
    </row>
    <row r="124">
      <c r="A124" s="37"/>
      <c r="B124" s="37"/>
      <c r="C124" s="32"/>
    </row>
    <row r="125">
      <c r="A125" s="37"/>
      <c r="B125" s="37"/>
      <c r="C125" s="32"/>
    </row>
    <row r="126">
      <c r="A126" s="37"/>
      <c r="B126" s="37"/>
      <c r="C126" s="32"/>
    </row>
    <row r="127">
      <c r="A127" s="37"/>
      <c r="B127" s="37"/>
      <c r="C127" s="32"/>
    </row>
    <row r="128">
      <c r="A128" s="37"/>
      <c r="B128" s="37"/>
      <c r="C128" s="32"/>
    </row>
    <row r="129">
      <c r="A129" s="37"/>
      <c r="B129" s="37"/>
      <c r="C129" s="32"/>
    </row>
    <row r="130">
      <c r="A130" s="37"/>
      <c r="B130" s="37"/>
      <c r="C130" s="32"/>
    </row>
    <row r="131">
      <c r="A131" s="37"/>
      <c r="B131" s="37"/>
      <c r="C131" s="32"/>
    </row>
    <row r="132">
      <c r="A132" s="37"/>
      <c r="B132" s="37"/>
      <c r="C132" s="32"/>
    </row>
    <row r="133">
      <c r="A133" s="37"/>
      <c r="B133" s="37"/>
      <c r="C133" s="32"/>
    </row>
    <row r="134">
      <c r="A134" s="37"/>
      <c r="B134" s="37"/>
      <c r="C134" s="32"/>
    </row>
    <row r="135">
      <c r="A135" s="37"/>
      <c r="B135" s="37"/>
      <c r="C135" s="32"/>
    </row>
    <row r="136">
      <c r="A136" s="37"/>
      <c r="B136" s="37"/>
      <c r="C136" s="32"/>
    </row>
    <row r="137">
      <c r="A137" s="37"/>
      <c r="B137" s="37"/>
      <c r="C137" s="32"/>
    </row>
    <row r="138">
      <c r="A138" s="37"/>
      <c r="B138" s="37"/>
      <c r="C138" s="32"/>
    </row>
    <row r="139">
      <c r="A139" s="37"/>
      <c r="B139" s="37"/>
      <c r="C139" s="32"/>
    </row>
    <row r="140">
      <c r="A140" s="37"/>
      <c r="B140" s="37"/>
      <c r="C140" s="32"/>
    </row>
    <row r="141">
      <c r="A141" s="37"/>
      <c r="B141" s="37"/>
      <c r="C141" s="32"/>
    </row>
    <row r="142">
      <c r="A142" s="37"/>
      <c r="B142" s="37"/>
      <c r="C142" s="32"/>
    </row>
    <row r="143">
      <c r="A143" s="37"/>
      <c r="B143" s="37"/>
      <c r="C143" s="32"/>
    </row>
    <row r="144">
      <c r="A144" s="37"/>
      <c r="B144" s="37"/>
      <c r="C144" s="32"/>
    </row>
    <row r="145">
      <c r="A145" s="37"/>
      <c r="B145" s="37"/>
      <c r="C145" s="32"/>
    </row>
    <row r="146">
      <c r="A146" s="37"/>
      <c r="B146" s="37"/>
      <c r="C146" s="32"/>
    </row>
    <row r="147">
      <c r="A147" s="37"/>
      <c r="B147" s="37"/>
      <c r="C147" s="32"/>
    </row>
    <row r="148">
      <c r="A148" s="37"/>
      <c r="B148" s="37"/>
      <c r="C148" s="32"/>
    </row>
    <row r="149">
      <c r="A149" s="37"/>
      <c r="B149" s="37"/>
      <c r="C149" s="32"/>
    </row>
    <row r="150">
      <c r="A150" s="37"/>
      <c r="B150" s="37"/>
      <c r="C150" s="32"/>
    </row>
    <row r="151">
      <c r="A151" s="37"/>
      <c r="B151" s="37"/>
      <c r="C151" s="32"/>
    </row>
    <row r="152">
      <c r="A152" s="37"/>
      <c r="B152" s="37"/>
      <c r="C152" s="32"/>
    </row>
    <row r="153">
      <c r="A153" s="37"/>
      <c r="B153" s="37"/>
      <c r="C153" s="32"/>
    </row>
    <row r="154">
      <c r="A154" s="37"/>
      <c r="B154" s="37"/>
      <c r="C154" s="32"/>
    </row>
    <row r="155">
      <c r="A155" s="37"/>
      <c r="B155" s="37"/>
      <c r="C155" s="32"/>
    </row>
    <row r="156">
      <c r="A156" s="37"/>
      <c r="B156" s="37"/>
      <c r="C156" s="32"/>
    </row>
    <row r="157">
      <c r="A157" s="37"/>
      <c r="B157" s="37"/>
      <c r="C157" s="32"/>
    </row>
    <row r="158">
      <c r="A158" s="37"/>
      <c r="B158" s="37"/>
      <c r="C158" s="32"/>
    </row>
    <row r="159">
      <c r="A159" s="37"/>
      <c r="B159" s="37"/>
      <c r="C159" s="32"/>
    </row>
    <row r="160">
      <c r="A160" s="37"/>
      <c r="B160" s="37"/>
      <c r="C160" s="32"/>
    </row>
    <row r="161">
      <c r="A161" s="37"/>
      <c r="B161" s="37"/>
      <c r="C161" s="32"/>
    </row>
    <row r="162">
      <c r="A162" s="37"/>
      <c r="B162" s="37"/>
      <c r="C162" s="32"/>
    </row>
    <row r="163">
      <c r="A163" s="37"/>
      <c r="B163" s="37"/>
      <c r="C163" s="32"/>
    </row>
    <row r="164">
      <c r="A164" s="37"/>
      <c r="B164" s="37"/>
      <c r="C164" s="32"/>
    </row>
    <row r="165">
      <c r="A165" s="37"/>
      <c r="B165" s="37"/>
      <c r="C165" s="32"/>
    </row>
    <row r="166">
      <c r="A166" s="37"/>
      <c r="B166" s="37"/>
      <c r="C166" s="32"/>
    </row>
    <row r="167">
      <c r="A167" s="37"/>
      <c r="B167" s="37"/>
      <c r="C167" s="32"/>
    </row>
    <row r="168">
      <c r="A168" s="37"/>
      <c r="B168" s="37"/>
      <c r="C168" s="32"/>
    </row>
    <row r="169">
      <c r="A169" s="37"/>
      <c r="B169" s="37"/>
      <c r="C169" s="32"/>
    </row>
    <row r="170">
      <c r="A170" s="37"/>
      <c r="B170" s="37"/>
      <c r="C170" s="32"/>
    </row>
    <row r="171">
      <c r="A171" s="37"/>
      <c r="B171" s="37"/>
      <c r="C171" s="32"/>
    </row>
    <row r="172">
      <c r="A172" s="37"/>
      <c r="B172" s="37"/>
      <c r="C172" s="32"/>
    </row>
    <row r="173">
      <c r="A173" s="37"/>
      <c r="B173" s="37"/>
      <c r="C173" s="32"/>
    </row>
    <row r="174">
      <c r="A174" s="37"/>
      <c r="B174" s="37"/>
      <c r="C174" s="32"/>
    </row>
    <row r="175">
      <c r="A175" s="37"/>
      <c r="B175" s="37"/>
      <c r="C175" s="32"/>
    </row>
    <row r="176">
      <c r="A176" s="37"/>
      <c r="B176" s="37"/>
      <c r="C176" s="32"/>
    </row>
    <row r="177">
      <c r="A177" s="37"/>
      <c r="B177" s="37"/>
      <c r="C177" s="32"/>
    </row>
    <row r="178">
      <c r="A178" s="37"/>
      <c r="B178" s="37"/>
      <c r="C178" s="32"/>
    </row>
    <row r="179">
      <c r="A179" s="37"/>
      <c r="B179" s="37"/>
      <c r="C179" s="32"/>
    </row>
    <row r="180">
      <c r="A180" s="37"/>
      <c r="B180" s="37"/>
      <c r="C180" s="32"/>
    </row>
    <row r="181">
      <c r="A181" s="37"/>
      <c r="B181" s="37"/>
      <c r="C181" s="32"/>
    </row>
    <row r="182">
      <c r="A182" s="37"/>
      <c r="B182" s="37"/>
      <c r="C182" s="32"/>
    </row>
    <row r="183">
      <c r="A183" s="37"/>
      <c r="B183" s="37"/>
      <c r="C183" s="32"/>
    </row>
    <row r="184">
      <c r="A184" s="37"/>
      <c r="B184" s="37"/>
      <c r="C184" s="32"/>
    </row>
    <row r="185">
      <c r="A185" s="37"/>
      <c r="B185" s="37"/>
      <c r="C185" s="32"/>
    </row>
    <row r="186">
      <c r="A186" s="37"/>
      <c r="B186" s="37"/>
      <c r="C186" s="32"/>
    </row>
    <row r="187">
      <c r="A187" s="37"/>
      <c r="B187" s="37"/>
      <c r="C187" s="32"/>
    </row>
    <row r="188">
      <c r="A188" s="37"/>
      <c r="B188" s="37"/>
      <c r="C188" s="32"/>
    </row>
    <row r="189">
      <c r="A189" s="37"/>
      <c r="B189" s="37"/>
      <c r="C189" s="32"/>
    </row>
    <row r="190">
      <c r="A190" s="37"/>
      <c r="B190" s="37"/>
      <c r="C190" s="32"/>
    </row>
    <row r="191">
      <c r="A191" s="37"/>
      <c r="B191" s="37"/>
      <c r="C191" s="32"/>
    </row>
    <row r="192">
      <c r="A192" s="37"/>
      <c r="B192" s="37"/>
      <c r="C192" s="32"/>
    </row>
    <row r="193">
      <c r="A193" s="37"/>
      <c r="B193" s="37"/>
      <c r="C193" s="32"/>
    </row>
    <row r="194">
      <c r="A194" s="37"/>
      <c r="B194" s="37"/>
      <c r="C194" s="32"/>
    </row>
    <row r="195">
      <c r="A195" s="37"/>
      <c r="B195" s="37"/>
      <c r="C195" s="32"/>
    </row>
    <row r="196">
      <c r="A196" s="37"/>
      <c r="B196" s="37"/>
      <c r="C196" s="32"/>
    </row>
    <row r="197">
      <c r="A197" s="37"/>
      <c r="B197" s="37"/>
      <c r="C197" s="32"/>
    </row>
    <row r="198">
      <c r="A198" s="37"/>
      <c r="B198" s="37"/>
      <c r="C198" s="32"/>
    </row>
    <row r="199">
      <c r="A199" s="37"/>
      <c r="B199" s="37"/>
      <c r="C199" s="32"/>
    </row>
    <row r="200">
      <c r="A200" s="37"/>
      <c r="B200" s="37"/>
      <c r="C200" s="32"/>
    </row>
    <row r="201">
      <c r="A201" s="37"/>
      <c r="B201" s="37"/>
      <c r="C201" s="32"/>
    </row>
    <row r="202">
      <c r="A202" s="37"/>
      <c r="B202" s="37"/>
      <c r="C202" s="32"/>
    </row>
    <row r="203">
      <c r="A203" s="37"/>
      <c r="B203" s="37"/>
      <c r="C203" s="32"/>
    </row>
    <row r="204">
      <c r="A204" s="37"/>
      <c r="B204" s="37"/>
      <c r="C204" s="32"/>
    </row>
    <row r="205">
      <c r="A205" s="37"/>
      <c r="B205" s="37"/>
      <c r="C205" s="32"/>
    </row>
    <row r="206">
      <c r="A206" s="37"/>
      <c r="B206" s="37"/>
      <c r="C206" s="32"/>
    </row>
    <row r="207">
      <c r="A207" s="37"/>
      <c r="B207" s="37"/>
      <c r="C207" s="32"/>
    </row>
    <row r="208">
      <c r="A208" s="37"/>
      <c r="B208" s="37"/>
      <c r="C208" s="32"/>
    </row>
    <row r="209">
      <c r="A209" s="37"/>
      <c r="B209" s="37"/>
      <c r="C209" s="32"/>
    </row>
    <row r="210">
      <c r="A210" s="37"/>
      <c r="B210" s="37"/>
      <c r="C210" s="32"/>
    </row>
    <row r="211">
      <c r="A211" s="37"/>
      <c r="B211" s="37"/>
      <c r="C211" s="32"/>
    </row>
    <row r="212">
      <c r="A212" s="37"/>
      <c r="B212" s="37"/>
      <c r="C212" s="32"/>
    </row>
    <row r="213">
      <c r="A213" s="37"/>
      <c r="B213" s="37"/>
      <c r="C213" s="32"/>
    </row>
    <row r="214">
      <c r="A214" s="37"/>
      <c r="B214" s="37"/>
      <c r="C214" s="32"/>
    </row>
    <row r="215">
      <c r="A215" s="37"/>
      <c r="B215" s="37"/>
      <c r="C215" s="32"/>
    </row>
    <row r="216">
      <c r="A216" s="37"/>
      <c r="B216" s="37"/>
      <c r="C216" s="32"/>
    </row>
    <row r="217">
      <c r="A217" s="37"/>
      <c r="B217" s="37"/>
      <c r="C217" s="32"/>
    </row>
    <row r="218">
      <c r="A218" s="37"/>
      <c r="B218" s="37"/>
      <c r="C218" s="32"/>
    </row>
    <row r="219">
      <c r="A219" s="37"/>
      <c r="B219" s="37"/>
      <c r="C219" s="32"/>
    </row>
    <row r="220">
      <c r="A220" s="37"/>
      <c r="B220" s="37"/>
      <c r="C220" s="32"/>
    </row>
    <row r="221">
      <c r="A221" s="37"/>
      <c r="B221" s="37"/>
      <c r="C221" s="32"/>
    </row>
    <row r="222">
      <c r="A222" s="37"/>
      <c r="B222" s="37"/>
      <c r="C222" s="32"/>
    </row>
    <row r="223">
      <c r="A223" s="37"/>
      <c r="B223" s="37"/>
      <c r="C223" s="32"/>
    </row>
    <row r="224">
      <c r="A224" s="37"/>
      <c r="B224" s="37"/>
      <c r="C224" s="32"/>
    </row>
    <row r="225">
      <c r="A225" s="37"/>
      <c r="B225" s="37"/>
      <c r="C225" s="32"/>
    </row>
    <row r="226">
      <c r="A226" s="37"/>
      <c r="B226" s="37"/>
      <c r="C226" s="32"/>
    </row>
    <row r="227">
      <c r="A227" s="37"/>
      <c r="B227" s="37"/>
      <c r="C227" s="32"/>
    </row>
    <row r="228">
      <c r="A228" s="37"/>
      <c r="B228" s="37"/>
      <c r="C228" s="32"/>
    </row>
    <row r="229">
      <c r="A229" s="37"/>
      <c r="B229" s="37"/>
      <c r="C229" s="32"/>
    </row>
    <row r="230">
      <c r="A230" s="37"/>
      <c r="B230" s="37"/>
      <c r="C230" s="32"/>
    </row>
    <row r="231">
      <c r="A231" s="37"/>
      <c r="B231" s="37"/>
      <c r="C231" s="32"/>
    </row>
    <row r="232">
      <c r="A232" s="37"/>
      <c r="B232" s="37"/>
      <c r="C232" s="32"/>
    </row>
    <row r="233">
      <c r="A233" s="37"/>
      <c r="B233" s="37"/>
      <c r="C233" s="32"/>
    </row>
    <row r="234">
      <c r="A234" s="37"/>
      <c r="B234" s="37"/>
      <c r="C234" s="32"/>
    </row>
    <row r="235">
      <c r="A235" s="37"/>
      <c r="B235" s="37"/>
      <c r="C235" s="32"/>
    </row>
    <row r="236">
      <c r="A236" s="37"/>
      <c r="B236" s="37"/>
      <c r="C236" s="32"/>
    </row>
    <row r="237">
      <c r="A237" s="37"/>
      <c r="B237" s="37"/>
      <c r="C237" s="32"/>
    </row>
    <row r="238">
      <c r="A238" s="37"/>
      <c r="B238" s="37"/>
      <c r="C238" s="32"/>
    </row>
    <row r="239">
      <c r="A239" s="37"/>
      <c r="B239" s="37"/>
      <c r="C239" s="32"/>
    </row>
    <row r="240">
      <c r="A240" s="37"/>
      <c r="B240" s="37"/>
      <c r="C240" s="32"/>
    </row>
    <row r="241">
      <c r="A241" s="37"/>
      <c r="B241" s="37"/>
      <c r="C241" s="32"/>
    </row>
    <row r="242">
      <c r="A242" s="37"/>
      <c r="B242" s="37"/>
      <c r="C242" s="32"/>
    </row>
    <row r="243">
      <c r="A243" s="37"/>
      <c r="B243" s="37"/>
      <c r="C243" s="32"/>
    </row>
    <row r="244">
      <c r="A244" s="37"/>
      <c r="B244" s="37"/>
      <c r="C244" s="32"/>
    </row>
    <row r="245">
      <c r="A245" s="37"/>
      <c r="B245" s="37"/>
      <c r="C245" s="32"/>
    </row>
    <row r="246">
      <c r="A246" s="37"/>
      <c r="B246" s="37"/>
      <c r="C246" s="32"/>
    </row>
    <row r="247">
      <c r="A247" s="37"/>
      <c r="B247" s="37"/>
      <c r="C247" s="32"/>
    </row>
    <row r="248">
      <c r="A248" s="37"/>
      <c r="B248" s="37"/>
      <c r="C248" s="32"/>
    </row>
    <row r="249">
      <c r="A249" s="37"/>
      <c r="B249" s="37"/>
      <c r="C249" s="32"/>
    </row>
    <row r="250">
      <c r="A250" s="37"/>
      <c r="B250" s="37"/>
      <c r="C250" s="32"/>
    </row>
    <row r="251">
      <c r="A251" s="37"/>
      <c r="B251" s="37"/>
      <c r="C251" s="32"/>
    </row>
    <row r="252">
      <c r="A252" s="37"/>
      <c r="B252" s="37"/>
      <c r="C252" s="32"/>
    </row>
    <row r="253">
      <c r="A253" s="37"/>
      <c r="B253" s="37"/>
      <c r="C253" s="32"/>
    </row>
    <row r="254">
      <c r="A254" s="37"/>
      <c r="B254" s="37"/>
      <c r="C254" s="32"/>
    </row>
    <row r="255">
      <c r="A255" s="37"/>
      <c r="B255" s="37"/>
      <c r="C255" s="32"/>
    </row>
    <row r="256">
      <c r="A256" s="37"/>
      <c r="B256" s="37"/>
      <c r="C256" s="32"/>
    </row>
    <row r="257">
      <c r="A257" s="37"/>
      <c r="B257" s="37"/>
      <c r="C257" s="32"/>
    </row>
    <row r="258">
      <c r="A258" s="37"/>
      <c r="B258" s="37"/>
      <c r="C258" s="32"/>
    </row>
    <row r="259">
      <c r="A259" s="37"/>
      <c r="B259" s="37"/>
      <c r="C259" s="32"/>
    </row>
    <row r="260">
      <c r="A260" s="37"/>
      <c r="B260" s="37"/>
      <c r="C260" s="32"/>
    </row>
    <row r="261">
      <c r="A261" s="37"/>
      <c r="B261" s="37"/>
      <c r="C261" s="32"/>
    </row>
    <row r="262">
      <c r="A262" s="37"/>
      <c r="B262" s="37"/>
      <c r="C262" s="32"/>
    </row>
    <row r="263">
      <c r="A263" s="37"/>
      <c r="B263" s="37"/>
      <c r="C263" s="32"/>
    </row>
    <row r="264">
      <c r="A264" s="37"/>
      <c r="B264" s="37"/>
      <c r="C264" s="32"/>
    </row>
    <row r="265">
      <c r="A265" s="37"/>
      <c r="B265" s="37"/>
      <c r="C265" s="32"/>
    </row>
    <row r="266">
      <c r="A266" s="37"/>
      <c r="B266" s="37"/>
      <c r="C266" s="32"/>
    </row>
    <row r="267">
      <c r="A267" s="37"/>
      <c r="B267" s="37"/>
      <c r="C267" s="32"/>
    </row>
    <row r="268">
      <c r="A268" s="37"/>
      <c r="B268" s="37"/>
      <c r="C268" s="32"/>
    </row>
    <row r="269">
      <c r="A269" s="37"/>
      <c r="B269" s="37"/>
      <c r="C269" s="32"/>
    </row>
    <row r="270">
      <c r="A270" s="37"/>
      <c r="B270" s="37"/>
      <c r="C270" s="32"/>
    </row>
    <row r="271">
      <c r="A271" s="37"/>
      <c r="B271" s="37"/>
      <c r="C271" s="32"/>
    </row>
    <row r="272">
      <c r="A272" s="37"/>
      <c r="B272" s="37"/>
      <c r="C272" s="32"/>
    </row>
    <row r="273">
      <c r="A273" s="37"/>
      <c r="B273" s="37"/>
      <c r="C273" s="32"/>
    </row>
    <row r="274">
      <c r="A274" s="37"/>
      <c r="B274" s="37"/>
      <c r="C274" s="32"/>
    </row>
    <row r="275">
      <c r="A275" s="37"/>
      <c r="B275" s="37"/>
      <c r="C275" s="32"/>
    </row>
    <row r="276">
      <c r="A276" s="37"/>
      <c r="B276" s="37"/>
      <c r="C276" s="32"/>
    </row>
    <row r="277">
      <c r="A277" s="37"/>
      <c r="B277" s="37"/>
      <c r="C277" s="32"/>
    </row>
    <row r="278">
      <c r="A278" s="37"/>
      <c r="B278" s="37"/>
      <c r="C278" s="32"/>
    </row>
    <row r="279">
      <c r="A279" s="37"/>
      <c r="B279" s="37"/>
      <c r="C279" s="32"/>
    </row>
    <row r="280">
      <c r="A280" s="37"/>
      <c r="B280" s="37"/>
      <c r="C280" s="32"/>
    </row>
    <row r="281">
      <c r="A281" s="37"/>
      <c r="B281" s="37"/>
      <c r="C281" s="32"/>
    </row>
    <row r="282">
      <c r="A282" s="37"/>
      <c r="B282" s="37"/>
      <c r="C282" s="32"/>
    </row>
    <row r="283">
      <c r="A283" s="37"/>
      <c r="B283" s="37"/>
      <c r="C283" s="32"/>
    </row>
    <row r="284">
      <c r="A284" s="37"/>
      <c r="B284" s="37"/>
      <c r="C284" s="32"/>
    </row>
    <row r="285">
      <c r="A285" s="37"/>
      <c r="B285" s="37"/>
      <c r="C285" s="32"/>
    </row>
    <row r="286">
      <c r="A286" s="37"/>
      <c r="B286" s="37"/>
      <c r="C286" s="32"/>
    </row>
    <row r="287">
      <c r="A287" s="37"/>
      <c r="B287" s="37"/>
      <c r="C287" s="32"/>
    </row>
    <row r="288">
      <c r="A288" s="37"/>
      <c r="B288" s="37"/>
      <c r="C288" s="32"/>
    </row>
    <row r="289">
      <c r="A289" s="37"/>
      <c r="B289" s="37"/>
      <c r="C289" s="32"/>
    </row>
    <row r="290">
      <c r="A290" s="37"/>
      <c r="B290" s="37"/>
      <c r="C290" s="32"/>
    </row>
    <row r="291">
      <c r="A291" s="37"/>
      <c r="B291" s="37"/>
      <c r="C291" s="32"/>
    </row>
    <row r="292">
      <c r="A292" s="37"/>
      <c r="B292" s="37"/>
      <c r="C292" s="32"/>
    </row>
    <row r="293">
      <c r="A293" s="37"/>
      <c r="B293" s="37"/>
      <c r="C293" s="32"/>
    </row>
    <row r="294">
      <c r="A294" s="37"/>
      <c r="B294" s="37"/>
      <c r="C294" s="32"/>
    </row>
    <row r="295">
      <c r="A295" s="37"/>
      <c r="B295" s="37"/>
      <c r="C295" s="32"/>
    </row>
    <row r="296">
      <c r="A296" s="37"/>
      <c r="B296" s="37"/>
      <c r="C296" s="32"/>
    </row>
    <row r="297">
      <c r="A297" s="37"/>
      <c r="B297" s="37"/>
      <c r="C297" s="32"/>
    </row>
    <row r="298">
      <c r="A298" s="37"/>
      <c r="B298" s="37"/>
      <c r="C298" s="32"/>
    </row>
    <row r="299">
      <c r="A299" s="37"/>
      <c r="B299" s="37"/>
      <c r="C299" s="32"/>
    </row>
    <row r="300">
      <c r="A300" s="37"/>
      <c r="B300" s="37"/>
      <c r="C300" s="32"/>
    </row>
    <row r="301">
      <c r="A301" s="37"/>
      <c r="B301" s="37"/>
      <c r="C301" s="32"/>
    </row>
    <row r="302">
      <c r="A302" s="37"/>
      <c r="B302" s="37"/>
      <c r="C302" s="32"/>
    </row>
    <row r="303">
      <c r="A303" s="37"/>
      <c r="B303" s="37"/>
      <c r="C303" s="32"/>
    </row>
    <row r="304">
      <c r="A304" s="37"/>
      <c r="B304" s="37"/>
      <c r="C304" s="32"/>
    </row>
    <row r="305">
      <c r="A305" s="37"/>
      <c r="B305" s="37"/>
      <c r="C305" s="32"/>
    </row>
    <row r="306">
      <c r="A306" s="37"/>
      <c r="B306" s="37"/>
      <c r="C306" s="32"/>
    </row>
    <row r="307">
      <c r="A307" s="37"/>
      <c r="B307" s="37"/>
      <c r="C307" s="32"/>
    </row>
    <row r="308">
      <c r="A308" s="37"/>
      <c r="B308" s="37"/>
      <c r="C308" s="32"/>
    </row>
    <row r="309">
      <c r="A309" s="37"/>
      <c r="B309" s="37"/>
      <c r="C309" s="32"/>
    </row>
    <row r="310">
      <c r="A310" s="37"/>
      <c r="B310" s="37"/>
      <c r="C310" s="32"/>
    </row>
    <row r="311">
      <c r="A311" s="37"/>
      <c r="B311" s="37"/>
      <c r="C311" s="32"/>
    </row>
    <row r="312">
      <c r="A312" s="37"/>
      <c r="B312" s="37"/>
      <c r="C312" s="32"/>
    </row>
    <row r="313">
      <c r="A313" s="37"/>
      <c r="B313" s="37"/>
      <c r="C313" s="32"/>
    </row>
    <row r="314">
      <c r="A314" s="37"/>
      <c r="B314" s="37"/>
      <c r="C314" s="32"/>
    </row>
    <row r="315">
      <c r="A315" s="37"/>
      <c r="B315" s="37"/>
      <c r="C315" s="32"/>
    </row>
    <row r="316">
      <c r="A316" s="37"/>
      <c r="B316" s="37"/>
      <c r="C316" s="32"/>
    </row>
    <row r="317">
      <c r="A317" s="37"/>
      <c r="B317" s="37"/>
      <c r="C317" s="32"/>
    </row>
    <row r="318">
      <c r="A318" s="37"/>
      <c r="B318" s="37"/>
      <c r="C318" s="32"/>
    </row>
    <row r="319">
      <c r="A319" s="37"/>
      <c r="B319" s="37"/>
      <c r="C319" s="32"/>
    </row>
    <row r="320">
      <c r="A320" s="37"/>
      <c r="B320" s="37"/>
      <c r="C320" s="32"/>
    </row>
    <row r="321">
      <c r="A321" s="37"/>
      <c r="B321" s="37"/>
      <c r="C321" s="32"/>
    </row>
    <row r="322">
      <c r="A322" s="37"/>
      <c r="B322" s="37"/>
      <c r="C322" s="32"/>
    </row>
    <row r="323">
      <c r="A323" s="37"/>
      <c r="B323" s="37"/>
      <c r="C323" s="32"/>
    </row>
    <row r="324">
      <c r="A324" s="37"/>
      <c r="B324" s="37"/>
      <c r="C324" s="32"/>
    </row>
    <row r="325">
      <c r="A325" s="37"/>
      <c r="B325" s="37"/>
      <c r="C325" s="32"/>
    </row>
    <row r="326">
      <c r="A326" s="37"/>
      <c r="B326" s="37"/>
      <c r="C326" s="32"/>
    </row>
    <row r="327">
      <c r="A327" s="37"/>
      <c r="B327" s="37"/>
      <c r="C327" s="32"/>
    </row>
    <row r="328">
      <c r="A328" s="37"/>
      <c r="B328" s="37"/>
      <c r="C328" s="32"/>
    </row>
    <row r="329">
      <c r="A329" s="37"/>
      <c r="B329" s="37"/>
      <c r="C329" s="32"/>
    </row>
    <row r="330">
      <c r="A330" s="37"/>
      <c r="B330" s="37"/>
      <c r="C330" s="32"/>
    </row>
    <row r="331">
      <c r="A331" s="37"/>
      <c r="B331" s="37"/>
      <c r="C331" s="32"/>
    </row>
    <row r="332">
      <c r="A332" s="37"/>
      <c r="B332" s="37"/>
      <c r="C332" s="32"/>
    </row>
    <row r="333">
      <c r="A333" s="37"/>
      <c r="B333" s="37"/>
      <c r="C333" s="32"/>
    </row>
    <row r="334">
      <c r="A334" s="37"/>
      <c r="B334" s="37"/>
      <c r="C334" s="32"/>
    </row>
    <row r="335">
      <c r="A335" s="37"/>
      <c r="B335" s="37"/>
      <c r="C335" s="32"/>
    </row>
    <row r="336">
      <c r="A336" s="37"/>
      <c r="B336" s="37"/>
      <c r="C336" s="32"/>
    </row>
    <row r="337">
      <c r="A337" s="37"/>
      <c r="B337" s="37"/>
      <c r="C337" s="32"/>
    </row>
    <row r="338">
      <c r="A338" s="37"/>
      <c r="B338" s="37"/>
      <c r="C338" s="32"/>
    </row>
    <row r="339">
      <c r="A339" s="37"/>
      <c r="B339" s="37"/>
      <c r="C339" s="32"/>
    </row>
    <row r="340">
      <c r="A340" s="37"/>
      <c r="B340" s="37"/>
      <c r="C340" s="32"/>
    </row>
    <row r="341">
      <c r="A341" s="37"/>
      <c r="B341" s="37"/>
      <c r="C341" s="32"/>
    </row>
    <row r="342">
      <c r="A342" s="37"/>
      <c r="B342" s="37"/>
      <c r="C342" s="32"/>
    </row>
    <row r="343">
      <c r="A343" s="37"/>
      <c r="B343" s="37"/>
      <c r="C343" s="32"/>
    </row>
    <row r="344">
      <c r="A344" s="37"/>
      <c r="B344" s="37"/>
      <c r="C344" s="32"/>
    </row>
    <row r="345">
      <c r="A345" s="37"/>
      <c r="B345" s="37"/>
      <c r="C345" s="32"/>
    </row>
    <row r="346">
      <c r="A346" s="37"/>
      <c r="B346" s="37"/>
      <c r="C346" s="32"/>
    </row>
    <row r="347">
      <c r="A347" s="37"/>
      <c r="B347" s="37"/>
      <c r="C347" s="32"/>
    </row>
    <row r="348">
      <c r="A348" s="37"/>
      <c r="B348" s="37"/>
      <c r="C348" s="32"/>
    </row>
    <row r="349">
      <c r="A349" s="37"/>
      <c r="B349" s="37"/>
      <c r="C349" s="32"/>
    </row>
    <row r="350">
      <c r="A350" s="37"/>
      <c r="B350" s="37"/>
      <c r="C350" s="32"/>
    </row>
    <row r="351">
      <c r="A351" s="37"/>
      <c r="B351" s="37"/>
      <c r="C351" s="32"/>
    </row>
    <row r="352">
      <c r="A352" s="37"/>
      <c r="B352" s="37"/>
      <c r="C352" s="32"/>
    </row>
    <row r="353">
      <c r="A353" s="37"/>
      <c r="B353" s="37"/>
      <c r="C353" s="32"/>
    </row>
    <row r="354">
      <c r="A354" s="37"/>
      <c r="B354" s="37"/>
      <c r="C354" s="32"/>
    </row>
    <row r="355">
      <c r="A355" s="37"/>
      <c r="B355" s="37"/>
      <c r="C355" s="32"/>
    </row>
    <row r="356">
      <c r="A356" s="37"/>
      <c r="B356" s="37"/>
      <c r="C356" s="32"/>
    </row>
    <row r="357">
      <c r="A357" s="37"/>
      <c r="B357" s="37"/>
      <c r="C357" s="32"/>
    </row>
    <row r="358">
      <c r="A358" s="37"/>
      <c r="B358" s="37"/>
      <c r="C358" s="32"/>
    </row>
    <row r="359">
      <c r="A359" s="37"/>
      <c r="B359" s="37"/>
      <c r="C359" s="32"/>
    </row>
    <row r="360">
      <c r="A360" s="37"/>
      <c r="B360" s="37"/>
      <c r="C360" s="32"/>
    </row>
    <row r="361">
      <c r="A361" s="37"/>
      <c r="B361" s="37"/>
      <c r="C361" s="32"/>
    </row>
    <row r="362">
      <c r="A362" s="37"/>
      <c r="B362" s="37"/>
      <c r="C362" s="32"/>
    </row>
    <row r="363">
      <c r="A363" s="37"/>
      <c r="B363" s="37"/>
      <c r="C363" s="32"/>
    </row>
    <row r="364">
      <c r="A364" s="37"/>
      <c r="B364" s="37"/>
      <c r="C364" s="32"/>
    </row>
    <row r="365">
      <c r="A365" s="37"/>
      <c r="B365" s="37"/>
      <c r="C365" s="32"/>
    </row>
    <row r="366">
      <c r="A366" s="37"/>
      <c r="B366" s="37"/>
      <c r="C366" s="32"/>
    </row>
    <row r="367">
      <c r="A367" s="37"/>
      <c r="B367" s="37"/>
      <c r="C367" s="32"/>
    </row>
    <row r="368">
      <c r="A368" s="37"/>
      <c r="B368" s="37"/>
      <c r="C368" s="32"/>
    </row>
    <row r="369">
      <c r="A369" s="37"/>
      <c r="B369" s="37"/>
      <c r="C369" s="32"/>
    </row>
    <row r="370">
      <c r="A370" s="37"/>
      <c r="B370" s="37"/>
      <c r="C370" s="32"/>
    </row>
    <row r="371">
      <c r="A371" s="37"/>
      <c r="B371" s="37"/>
      <c r="C371" s="32"/>
    </row>
    <row r="372">
      <c r="A372" s="37"/>
      <c r="B372" s="37"/>
      <c r="C372" s="32"/>
    </row>
    <row r="373">
      <c r="A373" s="37"/>
      <c r="B373" s="37"/>
      <c r="C373" s="32"/>
    </row>
    <row r="374">
      <c r="A374" s="37"/>
      <c r="B374" s="37"/>
      <c r="C374" s="32"/>
    </row>
    <row r="375">
      <c r="A375" s="37"/>
      <c r="B375" s="37"/>
      <c r="C375" s="32"/>
    </row>
    <row r="376">
      <c r="A376" s="37"/>
      <c r="B376" s="37"/>
      <c r="C376" s="32"/>
    </row>
    <row r="377">
      <c r="A377" s="37"/>
      <c r="B377" s="37"/>
      <c r="C377" s="32"/>
    </row>
    <row r="378">
      <c r="A378" s="37"/>
      <c r="B378" s="37"/>
      <c r="C378" s="32"/>
    </row>
    <row r="379">
      <c r="A379" s="37"/>
      <c r="B379" s="37"/>
      <c r="C379" s="32"/>
    </row>
    <row r="380">
      <c r="A380" s="37"/>
      <c r="B380" s="37"/>
      <c r="C380" s="32"/>
    </row>
    <row r="381">
      <c r="A381" s="37"/>
      <c r="B381" s="37"/>
      <c r="C381" s="32"/>
    </row>
    <row r="382">
      <c r="A382" s="37"/>
      <c r="B382" s="37"/>
      <c r="C382" s="32"/>
    </row>
    <row r="383">
      <c r="A383" s="37"/>
      <c r="B383" s="37"/>
      <c r="C383" s="32"/>
    </row>
    <row r="384">
      <c r="A384" s="37"/>
      <c r="B384" s="37"/>
      <c r="C384" s="32"/>
    </row>
    <row r="385">
      <c r="A385" s="37"/>
      <c r="B385" s="37"/>
      <c r="C385" s="32"/>
    </row>
    <row r="386">
      <c r="A386" s="37"/>
      <c r="B386" s="37"/>
      <c r="C386" s="32"/>
    </row>
    <row r="387">
      <c r="A387" s="37"/>
      <c r="B387" s="37"/>
      <c r="C387" s="32"/>
    </row>
    <row r="388">
      <c r="A388" s="37"/>
      <c r="B388" s="37"/>
      <c r="C388" s="32"/>
    </row>
    <row r="389">
      <c r="A389" s="37"/>
      <c r="B389" s="37"/>
      <c r="C389" s="32"/>
    </row>
    <row r="390">
      <c r="A390" s="37"/>
      <c r="B390" s="37"/>
      <c r="C390" s="32"/>
    </row>
    <row r="391">
      <c r="A391" s="37"/>
      <c r="B391" s="37"/>
      <c r="C391" s="32"/>
    </row>
    <row r="392">
      <c r="A392" s="37"/>
      <c r="B392" s="37"/>
      <c r="C392" s="32"/>
    </row>
    <row r="393">
      <c r="A393" s="37"/>
      <c r="B393" s="37"/>
      <c r="C393" s="32"/>
    </row>
    <row r="394">
      <c r="A394" s="37"/>
      <c r="B394" s="37"/>
      <c r="C394" s="32"/>
    </row>
    <row r="395">
      <c r="A395" s="37"/>
      <c r="B395" s="37"/>
      <c r="C395" s="32"/>
    </row>
    <row r="396">
      <c r="A396" s="37"/>
      <c r="B396" s="37"/>
      <c r="C396" s="32"/>
    </row>
    <row r="397">
      <c r="A397" s="37"/>
      <c r="B397" s="37"/>
      <c r="C397" s="32"/>
    </row>
    <row r="398">
      <c r="A398" s="37"/>
      <c r="B398" s="37"/>
      <c r="C398" s="32"/>
    </row>
    <row r="399">
      <c r="A399" s="37"/>
      <c r="B399" s="37"/>
      <c r="C399" s="32"/>
    </row>
    <row r="400">
      <c r="A400" s="37"/>
      <c r="B400" s="37"/>
      <c r="C400" s="32"/>
    </row>
    <row r="401">
      <c r="A401" s="37"/>
      <c r="B401" s="37"/>
      <c r="C401" s="32"/>
    </row>
    <row r="402">
      <c r="A402" s="37"/>
      <c r="B402" s="37"/>
      <c r="C402" s="32"/>
    </row>
    <row r="403">
      <c r="A403" s="37"/>
      <c r="B403" s="37"/>
      <c r="C403" s="32"/>
    </row>
    <row r="404">
      <c r="A404" s="37"/>
      <c r="B404" s="37"/>
      <c r="C404" s="32"/>
    </row>
    <row r="405">
      <c r="A405" s="37"/>
      <c r="B405" s="37"/>
      <c r="C405" s="32"/>
    </row>
    <row r="406">
      <c r="A406" s="37"/>
      <c r="B406" s="37"/>
      <c r="C406" s="32"/>
    </row>
    <row r="407">
      <c r="A407" s="37"/>
      <c r="B407" s="37"/>
      <c r="C407" s="32"/>
    </row>
    <row r="408">
      <c r="A408" s="37"/>
      <c r="B408" s="37"/>
      <c r="C408" s="32"/>
    </row>
    <row r="409">
      <c r="A409" s="37"/>
      <c r="B409" s="37"/>
      <c r="C409" s="32"/>
    </row>
    <row r="410">
      <c r="A410" s="37"/>
      <c r="B410" s="37"/>
      <c r="C410" s="32"/>
    </row>
    <row r="411">
      <c r="A411" s="37"/>
      <c r="B411" s="37"/>
      <c r="C411" s="32"/>
    </row>
    <row r="412">
      <c r="A412" s="37"/>
      <c r="B412" s="37"/>
      <c r="C412" s="32"/>
    </row>
    <row r="413">
      <c r="A413" s="37"/>
      <c r="B413" s="37"/>
      <c r="C413" s="32"/>
    </row>
    <row r="414">
      <c r="A414" s="37"/>
      <c r="B414" s="37"/>
      <c r="C414" s="32"/>
    </row>
    <row r="415">
      <c r="A415" s="37"/>
      <c r="B415" s="37"/>
      <c r="C415" s="32"/>
    </row>
    <row r="416">
      <c r="A416" s="37"/>
      <c r="B416" s="37"/>
      <c r="C416" s="32"/>
    </row>
    <row r="417">
      <c r="A417" s="37"/>
      <c r="B417" s="37"/>
      <c r="C417" s="32"/>
    </row>
    <row r="418">
      <c r="A418" s="37"/>
      <c r="B418" s="37"/>
      <c r="C418" s="32"/>
    </row>
    <row r="419">
      <c r="A419" s="37"/>
      <c r="B419" s="37"/>
      <c r="C419" s="32"/>
    </row>
    <row r="420">
      <c r="A420" s="37"/>
      <c r="B420" s="37"/>
      <c r="C420" s="32"/>
    </row>
    <row r="421">
      <c r="A421" s="37"/>
      <c r="B421" s="37"/>
      <c r="C421" s="32"/>
    </row>
    <row r="422">
      <c r="A422" s="37"/>
      <c r="B422" s="37"/>
      <c r="C422" s="32"/>
    </row>
    <row r="423">
      <c r="A423" s="37"/>
      <c r="B423" s="37"/>
      <c r="C423" s="32"/>
    </row>
    <row r="424">
      <c r="A424" s="37"/>
      <c r="B424" s="37"/>
      <c r="C424" s="32"/>
    </row>
    <row r="425">
      <c r="A425" s="37"/>
      <c r="B425" s="37"/>
      <c r="C425" s="32"/>
    </row>
    <row r="426">
      <c r="A426" s="37"/>
      <c r="B426" s="37"/>
      <c r="C426" s="32"/>
    </row>
    <row r="427">
      <c r="A427" s="37"/>
      <c r="B427" s="37"/>
      <c r="C427" s="32"/>
    </row>
    <row r="428">
      <c r="A428" s="37"/>
      <c r="B428" s="37"/>
      <c r="C428" s="32"/>
    </row>
    <row r="429">
      <c r="A429" s="37"/>
      <c r="B429" s="37"/>
      <c r="C429" s="32"/>
    </row>
    <row r="430">
      <c r="A430" s="37"/>
      <c r="B430" s="37"/>
      <c r="C430" s="32"/>
    </row>
    <row r="431">
      <c r="A431" s="37"/>
      <c r="B431" s="37"/>
      <c r="C431" s="32"/>
    </row>
    <row r="432">
      <c r="A432" s="37"/>
      <c r="B432" s="37"/>
      <c r="C432" s="32"/>
    </row>
    <row r="433">
      <c r="A433" s="37"/>
      <c r="B433" s="37"/>
      <c r="C433" s="32"/>
    </row>
    <row r="434">
      <c r="A434" s="37"/>
      <c r="B434" s="37"/>
      <c r="C434" s="32"/>
    </row>
    <row r="435">
      <c r="A435" s="37"/>
      <c r="B435" s="37"/>
      <c r="C435" s="32"/>
    </row>
    <row r="436">
      <c r="A436" s="37"/>
      <c r="B436" s="37"/>
      <c r="C436" s="32"/>
    </row>
    <row r="437">
      <c r="A437" s="37"/>
      <c r="B437" s="37"/>
      <c r="C437" s="32"/>
    </row>
    <row r="438">
      <c r="A438" s="37"/>
      <c r="B438" s="37"/>
      <c r="C438" s="32"/>
    </row>
    <row r="439">
      <c r="A439" s="37"/>
      <c r="B439" s="37"/>
      <c r="C439" s="32"/>
    </row>
    <row r="440">
      <c r="A440" s="37"/>
      <c r="B440" s="37"/>
      <c r="C440" s="32"/>
    </row>
    <row r="441">
      <c r="A441" s="37"/>
      <c r="B441" s="37"/>
      <c r="C441" s="32"/>
    </row>
    <row r="442">
      <c r="A442" s="37"/>
      <c r="B442" s="37"/>
      <c r="C442" s="32"/>
    </row>
    <row r="443">
      <c r="A443" s="37"/>
      <c r="B443" s="37"/>
      <c r="C443" s="32"/>
    </row>
    <row r="444">
      <c r="A444" s="37"/>
      <c r="B444" s="37"/>
      <c r="C444" s="32"/>
    </row>
    <row r="445">
      <c r="A445" s="37"/>
      <c r="B445" s="37"/>
      <c r="C445" s="32"/>
    </row>
    <row r="446">
      <c r="A446" s="37"/>
      <c r="B446" s="37"/>
      <c r="C446" s="32"/>
    </row>
    <row r="447">
      <c r="A447" s="37"/>
      <c r="B447" s="37"/>
      <c r="C447" s="32"/>
    </row>
    <row r="448">
      <c r="A448" s="37"/>
      <c r="B448" s="37"/>
      <c r="C448" s="32"/>
    </row>
    <row r="449">
      <c r="A449" s="37"/>
      <c r="B449" s="37"/>
      <c r="C449" s="32"/>
    </row>
    <row r="450">
      <c r="A450" s="37"/>
      <c r="B450" s="37"/>
      <c r="C450" s="32"/>
    </row>
    <row r="451">
      <c r="A451" s="37"/>
      <c r="B451" s="37"/>
      <c r="C451" s="32"/>
    </row>
    <row r="452">
      <c r="A452" s="37"/>
      <c r="B452" s="37"/>
      <c r="C452" s="32"/>
    </row>
    <row r="453">
      <c r="A453" s="37"/>
      <c r="B453" s="37"/>
      <c r="C453" s="32"/>
    </row>
    <row r="454">
      <c r="A454" s="37"/>
      <c r="B454" s="37"/>
      <c r="C454" s="32"/>
    </row>
    <row r="455">
      <c r="A455" s="37"/>
      <c r="B455" s="37"/>
      <c r="C455" s="32"/>
    </row>
    <row r="456">
      <c r="A456" s="37"/>
      <c r="B456" s="37"/>
      <c r="C456" s="32"/>
    </row>
    <row r="457">
      <c r="A457" s="37"/>
      <c r="B457" s="37"/>
      <c r="C457" s="32"/>
    </row>
    <row r="458">
      <c r="A458" s="37"/>
      <c r="B458" s="37"/>
      <c r="C458" s="32"/>
    </row>
    <row r="459">
      <c r="A459" s="37"/>
      <c r="B459" s="37"/>
      <c r="C459" s="32"/>
    </row>
    <row r="460">
      <c r="A460" s="37"/>
      <c r="B460" s="37"/>
      <c r="C460" s="32"/>
    </row>
    <row r="461">
      <c r="A461" s="37"/>
      <c r="B461" s="37"/>
      <c r="C461" s="32"/>
    </row>
    <row r="462">
      <c r="A462" s="37"/>
      <c r="B462" s="37"/>
      <c r="C462" s="32"/>
    </row>
    <row r="463">
      <c r="A463" s="37"/>
      <c r="B463" s="37"/>
      <c r="C463" s="32"/>
    </row>
    <row r="464">
      <c r="A464" s="37"/>
      <c r="B464" s="37"/>
      <c r="C464" s="32"/>
    </row>
    <row r="465">
      <c r="A465" s="37"/>
      <c r="B465" s="37"/>
      <c r="C465" s="32"/>
    </row>
    <row r="466">
      <c r="A466" s="37"/>
      <c r="B466" s="37"/>
      <c r="C466" s="32"/>
    </row>
    <row r="467">
      <c r="A467" s="37"/>
      <c r="B467" s="37"/>
      <c r="C467" s="32"/>
    </row>
    <row r="468">
      <c r="A468" s="37"/>
      <c r="B468" s="37"/>
      <c r="C468" s="32"/>
    </row>
    <row r="469">
      <c r="A469" s="37"/>
      <c r="B469" s="37"/>
      <c r="C469" s="32"/>
    </row>
    <row r="470">
      <c r="A470" s="37"/>
      <c r="B470" s="37"/>
      <c r="C470" s="32"/>
    </row>
    <row r="471">
      <c r="A471" s="37"/>
      <c r="B471" s="37"/>
      <c r="C471" s="32"/>
    </row>
    <row r="472">
      <c r="A472" s="37"/>
      <c r="B472" s="37"/>
      <c r="C472" s="32"/>
    </row>
    <row r="473">
      <c r="A473" s="37"/>
      <c r="B473" s="37"/>
      <c r="C473" s="32"/>
    </row>
    <row r="474">
      <c r="A474" s="37"/>
      <c r="B474" s="37"/>
      <c r="C474" s="32"/>
    </row>
    <row r="475">
      <c r="A475" s="37"/>
      <c r="B475" s="37"/>
      <c r="C475" s="32"/>
    </row>
    <row r="476">
      <c r="A476" s="37"/>
      <c r="B476" s="37"/>
      <c r="C476" s="32"/>
    </row>
    <row r="477">
      <c r="A477" s="37"/>
      <c r="B477" s="37"/>
      <c r="C477" s="32"/>
    </row>
    <row r="478">
      <c r="A478" s="37"/>
      <c r="B478" s="37"/>
      <c r="C478" s="32"/>
    </row>
    <row r="479">
      <c r="A479" s="37"/>
      <c r="B479" s="37"/>
      <c r="C479" s="32"/>
    </row>
    <row r="480">
      <c r="A480" s="37"/>
      <c r="B480" s="37"/>
      <c r="C480" s="32"/>
    </row>
    <row r="481">
      <c r="A481" s="37"/>
      <c r="B481" s="37"/>
      <c r="C481" s="32"/>
    </row>
    <row r="482">
      <c r="A482" s="37"/>
      <c r="B482" s="37"/>
      <c r="C482" s="32"/>
    </row>
    <row r="483">
      <c r="A483" s="37"/>
      <c r="B483" s="37"/>
      <c r="C483" s="32"/>
    </row>
    <row r="484">
      <c r="A484" s="37"/>
      <c r="B484" s="37"/>
      <c r="C484" s="32"/>
    </row>
    <row r="485">
      <c r="A485" s="37"/>
      <c r="B485" s="37"/>
      <c r="C485" s="32"/>
    </row>
    <row r="486">
      <c r="A486" s="37"/>
      <c r="B486" s="37"/>
      <c r="C486" s="32"/>
    </row>
    <row r="487">
      <c r="A487" s="37"/>
      <c r="B487" s="37"/>
      <c r="C487" s="32"/>
    </row>
    <row r="488">
      <c r="A488" s="37"/>
      <c r="B488" s="37"/>
      <c r="C488" s="32"/>
    </row>
    <row r="489">
      <c r="A489" s="37"/>
      <c r="B489" s="37"/>
      <c r="C489" s="32"/>
    </row>
    <row r="490">
      <c r="A490" s="37"/>
      <c r="B490" s="37"/>
      <c r="C490" s="32"/>
    </row>
    <row r="491">
      <c r="A491" s="37"/>
      <c r="B491" s="37"/>
      <c r="C491" s="32"/>
    </row>
    <row r="492">
      <c r="A492" s="37"/>
      <c r="B492" s="37"/>
      <c r="C492" s="32"/>
    </row>
    <row r="493">
      <c r="A493" s="37"/>
      <c r="B493" s="37"/>
      <c r="C493" s="32"/>
    </row>
    <row r="494">
      <c r="A494" s="37"/>
      <c r="B494" s="37"/>
      <c r="C494" s="32"/>
    </row>
    <row r="495">
      <c r="A495" s="37"/>
      <c r="B495" s="37"/>
      <c r="C495" s="32"/>
    </row>
    <row r="496">
      <c r="A496" s="37"/>
      <c r="B496" s="37"/>
      <c r="C496" s="32"/>
    </row>
    <row r="497">
      <c r="A497" s="37"/>
      <c r="B497" s="37"/>
      <c r="C497" s="32"/>
    </row>
    <row r="498">
      <c r="A498" s="37"/>
      <c r="B498" s="37"/>
      <c r="C498" s="32"/>
    </row>
    <row r="499">
      <c r="A499" s="37"/>
      <c r="B499" s="37"/>
      <c r="C499" s="32"/>
    </row>
    <row r="500">
      <c r="A500" s="37"/>
      <c r="B500" s="37"/>
      <c r="C500" s="32"/>
    </row>
    <row r="501">
      <c r="A501" s="37"/>
      <c r="B501" s="37"/>
      <c r="C501" s="32"/>
    </row>
    <row r="502">
      <c r="A502" s="37"/>
      <c r="B502" s="37"/>
      <c r="C502" s="32"/>
    </row>
    <row r="503">
      <c r="A503" s="37"/>
      <c r="B503" s="37"/>
      <c r="C503" s="32"/>
    </row>
    <row r="504">
      <c r="A504" s="37"/>
      <c r="B504" s="37"/>
      <c r="C504" s="32"/>
    </row>
    <row r="505">
      <c r="A505" s="37"/>
      <c r="B505" s="37"/>
      <c r="C505" s="32"/>
    </row>
    <row r="506">
      <c r="A506" s="37"/>
      <c r="B506" s="37"/>
      <c r="C506" s="32"/>
    </row>
    <row r="507">
      <c r="A507" s="37"/>
      <c r="B507" s="37"/>
      <c r="C507" s="32"/>
    </row>
    <row r="508">
      <c r="A508" s="37"/>
      <c r="B508" s="37"/>
      <c r="C508" s="32"/>
    </row>
    <row r="509">
      <c r="A509" s="37"/>
      <c r="B509" s="37"/>
      <c r="C509" s="32"/>
    </row>
    <row r="510">
      <c r="A510" s="37"/>
      <c r="B510" s="37"/>
      <c r="C510" s="32"/>
    </row>
    <row r="511">
      <c r="A511" s="37"/>
      <c r="B511" s="37"/>
      <c r="C511" s="32"/>
    </row>
    <row r="512">
      <c r="A512" s="37"/>
      <c r="B512" s="37"/>
      <c r="C512" s="32"/>
    </row>
    <row r="513">
      <c r="A513" s="37"/>
      <c r="B513" s="37"/>
      <c r="C513" s="32"/>
    </row>
    <row r="514">
      <c r="A514" s="37"/>
      <c r="B514" s="37"/>
      <c r="C514" s="32"/>
    </row>
    <row r="515">
      <c r="A515" s="37"/>
      <c r="B515" s="37"/>
      <c r="C515" s="32"/>
    </row>
    <row r="516">
      <c r="A516" s="37"/>
      <c r="B516" s="37"/>
      <c r="C516" s="32"/>
    </row>
    <row r="517">
      <c r="A517" s="37"/>
      <c r="B517" s="37"/>
      <c r="C517" s="32"/>
    </row>
    <row r="518">
      <c r="A518" s="37"/>
      <c r="B518" s="37"/>
      <c r="C518" s="32"/>
    </row>
    <row r="519">
      <c r="A519" s="37"/>
      <c r="B519" s="37"/>
      <c r="C519" s="32"/>
    </row>
    <row r="520">
      <c r="A520" s="37"/>
      <c r="B520" s="37"/>
      <c r="C520" s="32"/>
    </row>
    <row r="521">
      <c r="A521" s="37"/>
      <c r="B521" s="37"/>
      <c r="C521" s="32"/>
    </row>
    <row r="522">
      <c r="A522" s="37"/>
      <c r="B522" s="37"/>
      <c r="C522" s="32"/>
    </row>
    <row r="523">
      <c r="A523" s="37"/>
      <c r="B523" s="37"/>
      <c r="C523" s="32"/>
    </row>
    <row r="524">
      <c r="A524" s="37"/>
      <c r="B524" s="37"/>
      <c r="C524" s="32"/>
    </row>
    <row r="525">
      <c r="A525" s="37"/>
      <c r="B525" s="37"/>
      <c r="C525" s="32"/>
    </row>
    <row r="526">
      <c r="A526" s="37"/>
      <c r="B526" s="37"/>
      <c r="C526" s="32"/>
    </row>
    <row r="527">
      <c r="A527" s="37"/>
      <c r="B527" s="37"/>
      <c r="C527" s="32"/>
    </row>
    <row r="528">
      <c r="A528" s="37"/>
      <c r="B528" s="37"/>
      <c r="C528" s="32"/>
    </row>
    <row r="529">
      <c r="A529" s="37"/>
      <c r="B529" s="37"/>
      <c r="C529" s="32"/>
    </row>
    <row r="530">
      <c r="A530" s="37"/>
      <c r="B530" s="37"/>
      <c r="C530" s="32"/>
    </row>
    <row r="531">
      <c r="A531" s="37"/>
      <c r="B531" s="37"/>
      <c r="C531" s="32"/>
    </row>
    <row r="532">
      <c r="A532" s="37"/>
      <c r="B532" s="37"/>
      <c r="C532" s="32"/>
    </row>
    <row r="533">
      <c r="A533" s="37"/>
      <c r="B533" s="37"/>
      <c r="C533" s="32"/>
    </row>
    <row r="534">
      <c r="A534" s="37"/>
      <c r="B534" s="37"/>
      <c r="C534" s="32"/>
    </row>
    <row r="535">
      <c r="A535" s="37"/>
      <c r="B535" s="37"/>
      <c r="C535" s="32"/>
    </row>
    <row r="536">
      <c r="A536" s="37"/>
      <c r="B536" s="37"/>
      <c r="C536" s="32"/>
    </row>
    <row r="537">
      <c r="A537" s="37"/>
      <c r="B537" s="37"/>
      <c r="C537" s="32"/>
    </row>
    <row r="538">
      <c r="A538" s="37"/>
      <c r="B538" s="37"/>
      <c r="C538" s="32"/>
    </row>
    <row r="539">
      <c r="A539" s="37"/>
      <c r="B539" s="37"/>
      <c r="C539" s="32"/>
    </row>
    <row r="540">
      <c r="A540" s="37"/>
      <c r="B540" s="37"/>
      <c r="C540" s="32"/>
    </row>
    <row r="541">
      <c r="A541" s="37"/>
      <c r="B541" s="37"/>
      <c r="C541" s="32"/>
    </row>
    <row r="542">
      <c r="A542" s="37"/>
      <c r="B542" s="37"/>
      <c r="C542" s="32"/>
    </row>
    <row r="543">
      <c r="A543" s="37"/>
      <c r="B543" s="37"/>
      <c r="C543" s="32"/>
    </row>
    <row r="544">
      <c r="A544" s="37"/>
      <c r="B544" s="37"/>
      <c r="C544" s="32"/>
    </row>
    <row r="545">
      <c r="A545" s="37"/>
      <c r="B545" s="37"/>
      <c r="C545" s="32"/>
    </row>
    <row r="546">
      <c r="A546" s="37"/>
      <c r="B546" s="37"/>
      <c r="C546" s="32"/>
    </row>
    <row r="547">
      <c r="A547" s="37"/>
      <c r="B547" s="37"/>
      <c r="C547" s="32"/>
    </row>
    <row r="548">
      <c r="A548" s="37"/>
      <c r="B548" s="37"/>
      <c r="C548" s="32"/>
    </row>
    <row r="549">
      <c r="A549" s="37"/>
      <c r="B549" s="37"/>
      <c r="C549" s="32"/>
    </row>
    <row r="550">
      <c r="A550" s="37"/>
      <c r="B550" s="37"/>
      <c r="C550" s="32"/>
    </row>
    <row r="551">
      <c r="A551" s="37"/>
      <c r="B551" s="37"/>
      <c r="C551" s="32"/>
    </row>
    <row r="552">
      <c r="A552" s="37"/>
      <c r="B552" s="37"/>
      <c r="C552" s="32"/>
    </row>
    <row r="553">
      <c r="A553" s="37"/>
      <c r="B553" s="37"/>
      <c r="C553" s="32"/>
    </row>
    <row r="554">
      <c r="A554" s="37"/>
      <c r="B554" s="37"/>
      <c r="C554" s="32"/>
    </row>
    <row r="555">
      <c r="A555" s="37"/>
      <c r="B555" s="37"/>
      <c r="C555" s="32"/>
    </row>
    <row r="556">
      <c r="A556" s="37"/>
      <c r="B556" s="37"/>
      <c r="C556" s="32"/>
    </row>
    <row r="557">
      <c r="A557" s="37"/>
      <c r="B557" s="37"/>
      <c r="C557" s="32"/>
    </row>
    <row r="558">
      <c r="A558" s="37"/>
      <c r="B558" s="37"/>
      <c r="C558" s="32"/>
    </row>
    <row r="559">
      <c r="A559" s="37"/>
      <c r="B559" s="37"/>
      <c r="C559" s="32"/>
    </row>
    <row r="560">
      <c r="A560" s="37"/>
      <c r="B560" s="37"/>
      <c r="C560" s="32"/>
    </row>
    <row r="561">
      <c r="A561" s="37"/>
      <c r="B561" s="37"/>
      <c r="C561" s="32"/>
    </row>
    <row r="562">
      <c r="A562" s="37"/>
      <c r="B562" s="37"/>
      <c r="C562" s="32"/>
    </row>
    <row r="563">
      <c r="A563" s="37"/>
      <c r="B563" s="37"/>
      <c r="C563" s="32"/>
    </row>
    <row r="564">
      <c r="A564" s="37"/>
      <c r="B564" s="37"/>
      <c r="C564" s="32"/>
    </row>
    <row r="565">
      <c r="A565" s="37"/>
      <c r="B565" s="37"/>
      <c r="C565" s="32"/>
    </row>
    <row r="566">
      <c r="A566" s="37"/>
      <c r="B566" s="37"/>
      <c r="C566" s="32"/>
    </row>
    <row r="567">
      <c r="A567" s="37"/>
      <c r="B567" s="37"/>
      <c r="C567" s="32"/>
    </row>
    <row r="568">
      <c r="A568" s="37"/>
      <c r="B568" s="37"/>
      <c r="C568" s="32"/>
    </row>
    <row r="569">
      <c r="A569" s="37"/>
      <c r="B569" s="37"/>
      <c r="C569" s="32"/>
    </row>
    <row r="570">
      <c r="A570" s="37"/>
      <c r="B570" s="37"/>
      <c r="C570" s="32"/>
    </row>
    <row r="571">
      <c r="A571" s="37"/>
      <c r="B571" s="37"/>
      <c r="C571" s="32"/>
    </row>
    <row r="572">
      <c r="A572" s="37"/>
      <c r="B572" s="37"/>
      <c r="C572" s="32"/>
    </row>
    <row r="573">
      <c r="A573" s="37"/>
      <c r="B573" s="37"/>
      <c r="C573" s="32"/>
    </row>
    <row r="574">
      <c r="A574" s="37"/>
      <c r="B574" s="37"/>
      <c r="C574" s="32"/>
    </row>
    <row r="575">
      <c r="A575" s="37"/>
      <c r="B575" s="37"/>
      <c r="C575" s="32"/>
    </row>
    <row r="576">
      <c r="A576" s="37"/>
      <c r="B576" s="37"/>
      <c r="C576" s="32"/>
    </row>
    <row r="577">
      <c r="A577" s="37"/>
      <c r="B577" s="37"/>
      <c r="C577" s="32"/>
    </row>
    <row r="578">
      <c r="A578" s="37"/>
      <c r="B578" s="37"/>
      <c r="C578" s="32"/>
    </row>
    <row r="579">
      <c r="A579" s="37"/>
      <c r="B579" s="37"/>
      <c r="C579" s="32"/>
    </row>
    <row r="580">
      <c r="A580" s="37"/>
      <c r="B580" s="37"/>
      <c r="C580" s="32"/>
    </row>
    <row r="581">
      <c r="A581" s="37"/>
      <c r="B581" s="37"/>
      <c r="C581" s="32"/>
    </row>
    <row r="582">
      <c r="A582" s="37"/>
      <c r="B582" s="37"/>
      <c r="C582" s="32"/>
    </row>
    <row r="583">
      <c r="A583" s="37"/>
      <c r="B583" s="37"/>
      <c r="C583" s="32"/>
    </row>
    <row r="584">
      <c r="A584" s="37"/>
      <c r="B584" s="37"/>
      <c r="C584" s="32"/>
    </row>
    <row r="585">
      <c r="A585" s="37"/>
      <c r="B585" s="37"/>
      <c r="C585" s="32"/>
    </row>
    <row r="586">
      <c r="A586" s="37"/>
      <c r="B586" s="37"/>
      <c r="C586" s="32"/>
    </row>
    <row r="587">
      <c r="A587" s="37"/>
      <c r="B587" s="37"/>
      <c r="C587" s="32"/>
    </row>
    <row r="588">
      <c r="A588" s="37"/>
      <c r="B588" s="37"/>
      <c r="C588" s="32"/>
    </row>
    <row r="589">
      <c r="A589" s="37"/>
      <c r="B589" s="37"/>
      <c r="C589" s="32"/>
    </row>
    <row r="590">
      <c r="A590" s="37"/>
      <c r="B590" s="37"/>
      <c r="C590" s="32"/>
    </row>
    <row r="591">
      <c r="A591" s="37"/>
      <c r="B591" s="37"/>
      <c r="C591" s="32"/>
    </row>
    <row r="592">
      <c r="A592" s="37"/>
      <c r="B592" s="37"/>
      <c r="C592" s="32"/>
    </row>
    <row r="593">
      <c r="A593" s="37"/>
      <c r="B593" s="37"/>
      <c r="C593" s="32"/>
    </row>
    <row r="594">
      <c r="A594" s="37"/>
      <c r="B594" s="37"/>
      <c r="C594" s="32"/>
    </row>
    <row r="595">
      <c r="A595" s="37"/>
      <c r="B595" s="37"/>
      <c r="C595" s="32"/>
    </row>
    <row r="596">
      <c r="A596" s="37"/>
      <c r="B596" s="37"/>
      <c r="C596" s="32"/>
    </row>
    <row r="597">
      <c r="A597" s="37"/>
      <c r="B597" s="37"/>
      <c r="C597" s="32"/>
    </row>
    <row r="598">
      <c r="A598" s="37"/>
      <c r="B598" s="37"/>
      <c r="C598" s="32"/>
    </row>
    <row r="599">
      <c r="A599" s="37"/>
      <c r="B599" s="37"/>
      <c r="C599" s="32"/>
    </row>
    <row r="600">
      <c r="A600" s="37"/>
      <c r="B600" s="37"/>
      <c r="C600" s="32"/>
    </row>
    <row r="601">
      <c r="A601" s="37"/>
      <c r="B601" s="37"/>
      <c r="C601" s="32"/>
    </row>
    <row r="602">
      <c r="A602" s="37"/>
      <c r="B602" s="37"/>
      <c r="C602" s="32"/>
    </row>
    <row r="603">
      <c r="A603" s="37"/>
      <c r="B603" s="37"/>
      <c r="C603" s="32"/>
    </row>
    <row r="604">
      <c r="A604" s="37"/>
      <c r="B604" s="37"/>
      <c r="C604" s="32"/>
    </row>
    <row r="605">
      <c r="A605" s="37"/>
      <c r="B605" s="37"/>
      <c r="C605" s="32"/>
    </row>
    <row r="606">
      <c r="A606" s="37"/>
      <c r="B606" s="37"/>
      <c r="C606" s="32"/>
    </row>
    <row r="607">
      <c r="A607" s="37"/>
      <c r="B607" s="37"/>
      <c r="C607" s="32"/>
    </row>
    <row r="608">
      <c r="A608" s="37"/>
      <c r="B608" s="37"/>
      <c r="C608" s="32"/>
    </row>
    <row r="609">
      <c r="A609" s="37"/>
      <c r="B609" s="37"/>
      <c r="C609" s="32"/>
    </row>
    <row r="610">
      <c r="A610" s="37"/>
      <c r="B610" s="37"/>
      <c r="C610" s="32"/>
    </row>
    <row r="611">
      <c r="A611" s="37"/>
      <c r="B611" s="37"/>
      <c r="C611" s="32"/>
    </row>
    <row r="612">
      <c r="A612" s="37"/>
      <c r="B612" s="37"/>
      <c r="C612" s="32"/>
    </row>
    <row r="613">
      <c r="A613" s="37"/>
      <c r="B613" s="37"/>
      <c r="C613" s="32"/>
    </row>
    <row r="614">
      <c r="A614" s="37"/>
      <c r="B614" s="37"/>
      <c r="C614" s="32"/>
    </row>
    <row r="615">
      <c r="A615" s="37"/>
      <c r="B615" s="37"/>
      <c r="C615" s="32"/>
    </row>
    <row r="616">
      <c r="A616" s="37"/>
      <c r="B616" s="37"/>
      <c r="C616" s="32"/>
    </row>
    <row r="617">
      <c r="A617" s="37"/>
      <c r="B617" s="37"/>
      <c r="C617" s="32"/>
    </row>
    <row r="618">
      <c r="A618" s="37"/>
      <c r="B618" s="37"/>
      <c r="C618" s="32"/>
    </row>
    <row r="619">
      <c r="A619" s="37"/>
      <c r="B619" s="37"/>
      <c r="C619" s="32"/>
    </row>
    <row r="620">
      <c r="A620" s="37"/>
      <c r="B620" s="37"/>
      <c r="C620" s="32"/>
    </row>
    <row r="621">
      <c r="A621" s="37"/>
      <c r="B621" s="37"/>
      <c r="C621" s="32"/>
    </row>
    <row r="622">
      <c r="A622" s="37"/>
      <c r="B622" s="37"/>
      <c r="C622" s="32"/>
    </row>
    <row r="623">
      <c r="A623" s="37"/>
      <c r="B623" s="37"/>
      <c r="C623" s="32"/>
    </row>
    <row r="624">
      <c r="A624" s="37"/>
      <c r="B624" s="37"/>
      <c r="C624" s="32"/>
    </row>
    <row r="625">
      <c r="A625" s="37"/>
      <c r="B625" s="37"/>
      <c r="C625" s="32"/>
    </row>
    <row r="626">
      <c r="A626" s="37"/>
      <c r="B626" s="37"/>
      <c r="C626" s="32"/>
    </row>
    <row r="627">
      <c r="A627" s="37"/>
      <c r="B627" s="37"/>
      <c r="C627" s="32"/>
    </row>
    <row r="628">
      <c r="A628" s="37"/>
      <c r="B628" s="37"/>
      <c r="C628" s="32"/>
    </row>
    <row r="629">
      <c r="A629" s="37"/>
      <c r="B629" s="37"/>
      <c r="C629" s="32"/>
    </row>
    <row r="630">
      <c r="A630" s="37"/>
      <c r="B630" s="37"/>
      <c r="C630" s="32"/>
    </row>
    <row r="631">
      <c r="A631" s="37"/>
      <c r="B631" s="37"/>
      <c r="C631" s="32"/>
    </row>
    <row r="632">
      <c r="A632" s="37"/>
      <c r="B632" s="37"/>
      <c r="C632" s="32"/>
    </row>
    <row r="633">
      <c r="A633" s="37"/>
      <c r="B633" s="37"/>
      <c r="C633" s="32"/>
    </row>
    <row r="634">
      <c r="A634" s="37"/>
      <c r="B634" s="37"/>
      <c r="C634" s="32"/>
    </row>
    <row r="635">
      <c r="A635" s="37"/>
      <c r="B635" s="37"/>
      <c r="C635" s="32"/>
    </row>
    <row r="636">
      <c r="A636" s="37"/>
      <c r="B636" s="37"/>
      <c r="C636" s="32"/>
    </row>
    <row r="637">
      <c r="A637" s="37"/>
      <c r="B637" s="37"/>
      <c r="C637" s="32"/>
    </row>
    <row r="638">
      <c r="A638" s="37"/>
      <c r="B638" s="37"/>
      <c r="C638" s="32"/>
    </row>
    <row r="639">
      <c r="A639" s="37"/>
      <c r="B639" s="37"/>
      <c r="C639" s="32"/>
    </row>
    <row r="640">
      <c r="A640" s="37"/>
      <c r="B640" s="37"/>
      <c r="C640" s="32"/>
    </row>
    <row r="641">
      <c r="A641" s="37"/>
      <c r="B641" s="37"/>
      <c r="C641" s="32"/>
    </row>
    <row r="642">
      <c r="A642" s="37"/>
      <c r="B642" s="37"/>
      <c r="C642" s="32"/>
    </row>
    <row r="643">
      <c r="A643" s="37"/>
      <c r="B643" s="37"/>
      <c r="C643" s="32"/>
    </row>
    <row r="644">
      <c r="A644" s="37"/>
      <c r="B644" s="37"/>
      <c r="C644" s="32"/>
    </row>
    <row r="645">
      <c r="A645" s="37"/>
      <c r="B645" s="37"/>
      <c r="C645" s="32"/>
    </row>
    <row r="646">
      <c r="A646" s="37"/>
      <c r="B646" s="37"/>
      <c r="C646" s="32"/>
    </row>
    <row r="647">
      <c r="A647" s="37"/>
      <c r="B647" s="37"/>
      <c r="C647" s="32"/>
    </row>
    <row r="648">
      <c r="A648" s="37"/>
      <c r="B648" s="37"/>
      <c r="C648" s="32"/>
    </row>
    <row r="649">
      <c r="A649" s="37"/>
      <c r="B649" s="37"/>
      <c r="C649" s="32"/>
    </row>
    <row r="650">
      <c r="A650" s="37"/>
      <c r="B650" s="37"/>
      <c r="C650" s="32"/>
    </row>
    <row r="651">
      <c r="A651" s="37"/>
      <c r="B651" s="37"/>
      <c r="C651" s="32"/>
    </row>
    <row r="652">
      <c r="A652" s="37"/>
      <c r="B652" s="37"/>
      <c r="C652" s="32"/>
    </row>
    <row r="653">
      <c r="A653" s="37"/>
      <c r="B653" s="37"/>
      <c r="C653" s="32"/>
    </row>
    <row r="654">
      <c r="A654" s="37"/>
      <c r="B654" s="37"/>
      <c r="C654" s="32"/>
    </row>
    <row r="655">
      <c r="A655" s="37"/>
      <c r="B655" s="37"/>
      <c r="C655" s="32"/>
    </row>
    <row r="656">
      <c r="A656" s="37"/>
      <c r="B656" s="37"/>
      <c r="C656" s="32"/>
    </row>
    <row r="657">
      <c r="A657" s="37"/>
      <c r="B657" s="37"/>
      <c r="C657" s="32"/>
    </row>
    <row r="658">
      <c r="A658" s="37"/>
      <c r="B658" s="37"/>
      <c r="C658" s="32"/>
    </row>
    <row r="659">
      <c r="A659" s="37"/>
      <c r="B659" s="37"/>
      <c r="C659" s="32"/>
    </row>
    <row r="660">
      <c r="A660" s="37"/>
      <c r="B660" s="37"/>
      <c r="C660" s="32"/>
    </row>
    <row r="661">
      <c r="A661" s="37"/>
      <c r="B661" s="37"/>
      <c r="C661" s="32"/>
    </row>
    <row r="662">
      <c r="A662" s="37"/>
      <c r="B662" s="37"/>
      <c r="C662" s="32"/>
    </row>
    <row r="663">
      <c r="A663" s="37"/>
      <c r="B663" s="37"/>
      <c r="C663" s="32"/>
    </row>
    <row r="664">
      <c r="A664" s="37"/>
      <c r="B664" s="37"/>
      <c r="C664" s="32"/>
    </row>
    <row r="665">
      <c r="A665" s="37"/>
      <c r="B665" s="37"/>
      <c r="C665" s="32"/>
    </row>
    <row r="666">
      <c r="A666" s="37"/>
      <c r="B666" s="37"/>
      <c r="C666" s="32"/>
    </row>
    <row r="667">
      <c r="A667" s="37"/>
      <c r="B667" s="37"/>
      <c r="C667" s="32"/>
    </row>
    <row r="668">
      <c r="A668" s="37"/>
      <c r="B668" s="37"/>
      <c r="C668" s="32"/>
    </row>
    <row r="669">
      <c r="A669" s="37"/>
      <c r="B669" s="37"/>
      <c r="C669" s="32"/>
    </row>
    <row r="670">
      <c r="A670" s="37"/>
      <c r="B670" s="37"/>
      <c r="C670" s="32"/>
    </row>
    <row r="671">
      <c r="A671" s="37"/>
      <c r="B671" s="37"/>
      <c r="C671" s="32"/>
    </row>
    <row r="672">
      <c r="A672" s="37"/>
      <c r="B672" s="37"/>
      <c r="C672" s="32"/>
    </row>
    <row r="673">
      <c r="A673" s="37"/>
      <c r="B673" s="37"/>
      <c r="C673" s="32"/>
    </row>
    <row r="674">
      <c r="A674" s="37"/>
      <c r="B674" s="37"/>
      <c r="C674" s="32"/>
    </row>
    <row r="675">
      <c r="A675" s="37"/>
      <c r="B675" s="37"/>
      <c r="C675" s="32"/>
    </row>
    <row r="676">
      <c r="A676" s="37"/>
      <c r="B676" s="37"/>
      <c r="C676" s="32"/>
    </row>
    <row r="677">
      <c r="A677" s="37"/>
      <c r="B677" s="37"/>
      <c r="C677" s="32"/>
    </row>
    <row r="678">
      <c r="A678" s="37"/>
      <c r="B678" s="37"/>
      <c r="C678" s="32"/>
    </row>
    <row r="679">
      <c r="A679" s="37"/>
      <c r="B679" s="37"/>
      <c r="C679" s="32"/>
    </row>
    <row r="680">
      <c r="A680" s="37"/>
      <c r="B680" s="37"/>
      <c r="C680" s="32"/>
    </row>
    <row r="681">
      <c r="A681" s="37"/>
      <c r="B681" s="37"/>
      <c r="C681" s="32"/>
    </row>
    <row r="682">
      <c r="A682" s="37"/>
      <c r="B682" s="37"/>
      <c r="C682" s="32"/>
    </row>
    <row r="683">
      <c r="A683" s="37"/>
      <c r="B683" s="37"/>
      <c r="C683" s="32"/>
    </row>
    <row r="684">
      <c r="A684" s="37"/>
      <c r="B684" s="37"/>
      <c r="C684" s="32"/>
    </row>
    <row r="685">
      <c r="A685" s="37"/>
      <c r="B685" s="37"/>
      <c r="C685" s="32"/>
    </row>
    <row r="686">
      <c r="A686" s="37"/>
      <c r="B686" s="37"/>
      <c r="C686" s="32"/>
    </row>
    <row r="687">
      <c r="A687" s="37"/>
      <c r="B687" s="37"/>
      <c r="C687" s="32"/>
    </row>
    <row r="688">
      <c r="A688" s="37"/>
      <c r="B688" s="37"/>
      <c r="C688" s="32"/>
    </row>
    <row r="689">
      <c r="A689" s="37"/>
      <c r="B689" s="37"/>
      <c r="C689" s="32"/>
    </row>
    <row r="690">
      <c r="A690" s="37"/>
      <c r="B690" s="37"/>
      <c r="C690" s="32"/>
    </row>
    <row r="691">
      <c r="A691" s="37"/>
      <c r="B691" s="37"/>
      <c r="C691" s="32"/>
    </row>
    <row r="692">
      <c r="A692" s="37"/>
      <c r="B692" s="37"/>
      <c r="C692" s="32"/>
    </row>
    <row r="693">
      <c r="A693" s="37"/>
      <c r="B693" s="37"/>
      <c r="C693" s="32"/>
    </row>
    <row r="694">
      <c r="A694" s="37"/>
      <c r="B694" s="37"/>
      <c r="C694" s="32"/>
    </row>
    <row r="695">
      <c r="A695" s="37"/>
      <c r="B695" s="37"/>
      <c r="C695" s="32"/>
    </row>
    <row r="696">
      <c r="A696" s="37"/>
      <c r="B696" s="37"/>
      <c r="C696" s="32"/>
    </row>
    <row r="697">
      <c r="A697" s="37"/>
      <c r="B697" s="37"/>
      <c r="C697" s="32"/>
    </row>
    <row r="698">
      <c r="A698" s="37"/>
      <c r="B698" s="37"/>
      <c r="C698" s="32"/>
    </row>
    <row r="699">
      <c r="A699" s="37"/>
      <c r="B699" s="37"/>
      <c r="C699" s="32"/>
    </row>
    <row r="700">
      <c r="A700" s="37"/>
      <c r="B700" s="37"/>
      <c r="C700" s="32"/>
    </row>
    <row r="701">
      <c r="A701" s="37"/>
      <c r="B701" s="37"/>
      <c r="C701" s="32"/>
    </row>
    <row r="702">
      <c r="A702" s="37"/>
      <c r="B702" s="37"/>
      <c r="C702" s="32"/>
    </row>
    <row r="703">
      <c r="A703" s="37"/>
      <c r="B703" s="37"/>
      <c r="C703" s="32"/>
    </row>
    <row r="704">
      <c r="A704" s="37"/>
      <c r="B704" s="37"/>
      <c r="C704" s="32"/>
    </row>
    <row r="705">
      <c r="A705" s="37"/>
      <c r="B705" s="37"/>
      <c r="C705" s="32"/>
    </row>
    <row r="706">
      <c r="A706" s="37"/>
      <c r="B706" s="37"/>
      <c r="C706" s="32"/>
    </row>
    <row r="707">
      <c r="A707" s="37"/>
      <c r="B707" s="37"/>
      <c r="C707" s="32"/>
    </row>
    <row r="708">
      <c r="A708" s="37"/>
      <c r="B708" s="37"/>
      <c r="C708" s="32"/>
    </row>
    <row r="709">
      <c r="A709" s="37"/>
      <c r="B709" s="37"/>
      <c r="C709" s="32"/>
    </row>
    <row r="710">
      <c r="A710" s="37"/>
      <c r="B710" s="37"/>
      <c r="C710" s="32"/>
    </row>
    <row r="711">
      <c r="A711" s="37"/>
      <c r="B711" s="37"/>
      <c r="C711" s="32"/>
    </row>
    <row r="712">
      <c r="A712" s="37"/>
      <c r="B712" s="37"/>
      <c r="C712" s="32"/>
    </row>
    <row r="713">
      <c r="A713" s="37"/>
      <c r="B713" s="37"/>
      <c r="C713" s="32"/>
    </row>
    <row r="714">
      <c r="A714" s="37"/>
      <c r="B714" s="37"/>
      <c r="C714" s="32"/>
    </row>
    <row r="715">
      <c r="A715" s="37"/>
      <c r="B715" s="37"/>
      <c r="C715" s="32"/>
    </row>
    <row r="716">
      <c r="A716" s="37"/>
      <c r="B716" s="37"/>
      <c r="C716" s="32"/>
    </row>
    <row r="717">
      <c r="A717" s="37"/>
      <c r="B717" s="37"/>
      <c r="C717" s="32"/>
    </row>
    <row r="718">
      <c r="A718" s="37"/>
      <c r="B718" s="37"/>
      <c r="C718" s="32"/>
    </row>
    <row r="719">
      <c r="A719" s="37"/>
      <c r="B719" s="37"/>
      <c r="C719" s="32"/>
    </row>
    <row r="720">
      <c r="A720" s="37"/>
      <c r="B720" s="37"/>
      <c r="C720" s="32"/>
    </row>
    <row r="721">
      <c r="A721" s="37"/>
      <c r="B721" s="37"/>
      <c r="C721" s="32"/>
    </row>
    <row r="722">
      <c r="A722" s="37"/>
      <c r="B722" s="37"/>
      <c r="C722" s="32"/>
    </row>
    <row r="723">
      <c r="A723" s="37"/>
      <c r="B723" s="37"/>
      <c r="C723" s="32"/>
    </row>
    <row r="724">
      <c r="A724" s="37"/>
      <c r="B724" s="37"/>
      <c r="C724" s="32"/>
    </row>
    <row r="725">
      <c r="A725" s="37"/>
      <c r="B725" s="37"/>
      <c r="C725" s="32"/>
    </row>
    <row r="726">
      <c r="A726" s="37"/>
      <c r="B726" s="37"/>
      <c r="C726" s="32"/>
    </row>
    <row r="727">
      <c r="A727" s="37"/>
      <c r="B727" s="37"/>
      <c r="C727" s="32"/>
    </row>
    <row r="728">
      <c r="A728" s="37"/>
      <c r="B728" s="37"/>
      <c r="C728" s="32"/>
    </row>
    <row r="729">
      <c r="A729" s="37"/>
      <c r="B729" s="37"/>
      <c r="C729" s="32"/>
    </row>
    <row r="730">
      <c r="A730" s="37"/>
      <c r="B730" s="37"/>
      <c r="C730" s="32"/>
    </row>
    <row r="731">
      <c r="A731" s="37"/>
      <c r="B731" s="37"/>
      <c r="C731" s="32"/>
    </row>
    <row r="732">
      <c r="A732" s="37"/>
      <c r="B732" s="37"/>
      <c r="C732" s="32"/>
    </row>
    <row r="733">
      <c r="A733" s="37"/>
      <c r="B733" s="37"/>
      <c r="C733" s="32"/>
    </row>
    <row r="734">
      <c r="A734" s="37"/>
      <c r="B734" s="37"/>
      <c r="C734" s="32"/>
    </row>
    <row r="735">
      <c r="A735" s="37"/>
      <c r="B735" s="37"/>
      <c r="C735" s="32"/>
    </row>
    <row r="736">
      <c r="A736" s="37"/>
      <c r="B736" s="37"/>
      <c r="C736" s="32"/>
    </row>
    <row r="737">
      <c r="A737" s="37"/>
      <c r="B737" s="37"/>
      <c r="C737" s="32"/>
    </row>
    <row r="738">
      <c r="A738" s="37"/>
      <c r="B738" s="37"/>
      <c r="C738" s="32"/>
    </row>
    <row r="739">
      <c r="A739" s="37"/>
      <c r="B739" s="37"/>
      <c r="C739" s="32"/>
    </row>
    <row r="740">
      <c r="A740" s="37"/>
      <c r="B740" s="37"/>
      <c r="C740" s="32"/>
    </row>
    <row r="741">
      <c r="A741" s="37"/>
      <c r="B741" s="37"/>
      <c r="C741" s="32"/>
    </row>
    <row r="742">
      <c r="A742" s="37"/>
      <c r="B742" s="37"/>
      <c r="C742" s="32"/>
    </row>
    <row r="743">
      <c r="A743" s="37"/>
      <c r="B743" s="37"/>
      <c r="C743" s="32"/>
    </row>
    <row r="744">
      <c r="A744" s="37"/>
      <c r="B744" s="37"/>
      <c r="C744" s="32"/>
    </row>
    <row r="745">
      <c r="A745" s="37"/>
      <c r="B745" s="37"/>
      <c r="C745" s="32"/>
    </row>
    <row r="746">
      <c r="A746" s="37"/>
      <c r="B746" s="37"/>
      <c r="C746" s="32"/>
    </row>
    <row r="747">
      <c r="A747" s="37"/>
      <c r="B747" s="37"/>
      <c r="C747" s="32"/>
    </row>
    <row r="748">
      <c r="A748" s="37"/>
      <c r="B748" s="37"/>
      <c r="C748" s="32"/>
    </row>
    <row r="749">
      <c r="A749" s="37"/>
      <c r="B749" s="37"/>
      <c r="C749" s="32"/>
    </row>
    <row r="750">
      <c r="A750" s="37"/>
      <c r="B750" s="37"/>
      <c r="C750" s="32"/>
    </row>
    <row r="751">
      <c r="A751" s="37"/>
      <c r="B751" s="37"/>
      <c r="C751" s="32"/>
    </row>
    <row r="752">
      <c r="A752" s="37"/>
      <c r="B752" s="37"/>
      <c r="C752" s="32"/>
    </row>
    <row r="753">
      <c r="A753" s="37"/>
      <c r="B753" s="37"/>
      <c r="C753" s="32"/>
    </row>
    <row r="754">
      <c r="A754" s="37"/>
      <c r="B754" s="37"/>
      <c r="C754" s="32"/>
    </row>
    <row r="755">
      <c r="A755" s="37"/>
      <c r="B755" s="37"/>
      <c r="C755" s="32"/>
    </row>
    <row r="756">
      <c r="A756" s="37"/>
      <c r="B756" s="37"/>
      <c r="C756" s="32"/>
    </row>
    <row r="757">
      <c r="A757" s="37"/>
      <c r="B757" s="37"/>
      <c r="C757" s="32"/>
    </row>
    <row r="758">
      <c r="A758" s="37"/>
      <c r="B758" s="37"/>
      <c r="C758" s="32"/>
    </row>
    <row r="759">
      <c r="A759" s="37"/>
      <c r="B759" s="37"/>
      <c r="C759" s="32"/>
    </row>
    <row r="760">
      <c r="A760" s="37"/>
      <c r="B760" s="37"/>
      <c r="C760" s="32"/>
    </row>
    <row r="761">
      <c r="A761" s="37"/>
      <c r="B761" s="37"/>
      <c r="C761" s="32"/>
    </row>
    <row r="762">
      <c r="A762" s="37"/>
      <c r="B762" s="37"/>
      <c r="C762" s="32"/>
    </row>
    <row r="763">
      <c r="A763" s="37"/>
      <c r="B763" s="37"/>
      <c r="C763" s="32"/>
    </row>
    <row r="764">
      <c r="A764" s="37"/>
      <c r="B764" s="37"/>
      <c r="C764" s="32"/>
    </row>
    <row r="765">
      <c r="A765" s="37"/>
      <c r="B765" s="37"/>
      <c r="C765" s="32"/>
    </row>
    <row r="766">
      <c r="A766" s="37"/>
      <c r="B766" s="37"/>
      <c r="C766" s="32"/>
    </row>
    <row r="767">
      <c r="A767" s="37"/>
      <c r="B767" s="37"/>
      <c r="C767" s="32"/>
    </row>
    <row r="768">
      <c r="A768" s="37"/>
      <c r="B768" s="37"/>
      <c r="C768" s="32"/>
    </row>
    <row r="769">
      <c r="A769" s="37"/>
      <c r="B769" s="37"/>
      <c r="C769" s="32"/>
    </row>
    <row r="770">
      <c r="A770" s="37"/>
      <c r="B770" s="37"/>
      <c r="C770" s="32"/>
    </row>
    <row r="771">
      <c r="A771" s="37"/>
      <c r="B771" s="37"/>
      <c r="C771" s="32"/>
    </row>
    <row r="772">
      <c r="A772" s="37"/>
      <c r="B772" s="37"/>
      <c r="C772" s="32"/>
    </row>
    <row r="773">
      <c r="A773" s="37"/>
      <c r="B773" s="37"/>
      <c r="C773" s="32"/>
    </row>
    <row r="774">
      <c r="A774" s="37"/>
      <c r="B774" s="37"/>
      <c r="C774" s="32"/>
    </row>
    <row r="775">
      <c r="A775" s="37"/>
      <c r="B775" s="37"/>
      <c r="C775" s="32"/>
    </row>
    <row r="776">
      <c r="A776" s="37"/>
      <c r="B776" s="37"/>
      <c r="C776" s="32"/>
    </row>
    <row r="777">
      <c r="A777" s="37"/>
      <c r="B777" s="37"/>
      <c r="C777" s="32"/>
    </row>
    <row r="778">
      <c r="A778" s="37"/>
      <c r="B778" s="37"/>
      <c r="C778" s="32"/>
    </row>
    <row r="779">
      <c r="A779" s="37"/>
      <c r="B779" s="37"/>
      <c r="C779" s="32"/>
    </row>
    <row r="780">
      <c r="A780" s="37"/>
      <c r="B780" s="37"/>
      <c r="C780" s="32"/>
    </row>
    <row r="781">
      <c r="A781" s="37"/>
      <c r="B781" s="37"/>
      <c r="C781" s="32"/>
    </row>
    <row r="782">
      <c r="A782" s="37"/>
      <c r="B782" s="37"/>
      <c r="C782" s="32"/>
    </row>
    <row r="783">
      <c r="A783" s="37"/>
      <c r="B783" s="37"/>
      <c r="C783" s="32"/>
    </row>
    <row r="784">
      <c r="A784" s="37"/>
      <c r="B784" s="37"/>
      <c r="C784" s="32"/>
    </row>
    <row r="785">
      <c r="A785" s="37"/>
      <c r="B785" s="37"/>
      <c r="C785" s="32"/>
    </row>
    <row r="786">
      <c r="A786" s="37"/>
      <c r="B786" s="37"/>
      <c r="C786" s="32"/>
    </row>
    <row r="787">
      <c r="A787" s="37"/>
      <c r="B787" s="37"/>
      <c r="C787" s="32"/>
    </row>
    <row r="788">
      <c r="A788" s="37"/>
      <c r="B788" s="37"/>
      <c r="C788" s="32"/>
    </row>
    <row r="789">
      <c r="A789" s="37"/>
      <c r="B789" s="37"/>
      <c r="C789" s="32"/>
    </row>
    <row r="790">
      <c r="A790" s="37"/>
      <c r="B790" s="37"/>
      <c r="C790" s="32"/>
    </row>
    <row r="791">
      <c r="A791" s="37"/>
      <c r="B791" s="37"/>
      <c r="C791" s="32"/>
    </row>
    <row r="792">
      <c r="A792" s="37"/>
      <c r="B792" s="37"/>
      <c r="C792" s="32"/>
    </row>
    <row r="793">
      <c r="A793" s="37"/>
      <c r="B793" s="37"/>
      <c r="C793" s="32"/>
    </row>
    <row r="794">
      <c r="A794" s="37"/>
      <c r="B794" s="37"/>
      <c r="C794" s="32"/>
    </row>
    <row r="795">
      <c r="A795" s="37"/>
      <c r="B795" s="37"/>
      <c r="C795" s="32"/>
    </row>
    <row r="796">
      <c r="A796" s="37"/>
      <c r="B796" s="37"/>
      <c r="C796" s="32"/>
    </row>
    <row r="797">
      <c r="A797" s="37"/>
      <c r="B797" s="37"/>
      <c r="C797" s="32"/>
    </row>
    <row r="798">
      <c r="A798" s="37"/>
      <c r="B798" s="37"/>
      <c r="C798" s="32"/>
    </row>
    <row r="799">
      <c r="A799" s="37"/>
      <c r="B799" s="37"/>
      <c r="C799" s="32"/>
    </row>
    <row r="800">
      <c r="A800" s="37"/>
      <c r="B800" s="37"/>
      <c r="C800" s="32"/>
    </row>
    <row r="801">
      <c r="A801" s="37"/>
      <c r="B801" s="37"/>
      <c r="C801" s="32"/>
    </row>
    <row r="802">
      <c r="A802" s="37"/>
      <c r="B802" s="37"/>
      <c r="C802" s="32"/>
    </row>
    <row r="803">
      <c r="A803" s="37"/>
      <c r="B803" s="37"/>
      <c r="C803" s="32"/>
    </row>
    <row r="804">
      <c r="A804" s="37"/>
      <c r="B804" s="37"/>
      <c r="C804" s="32"/>
    </row>
    <row r="805">
      <c r="A805" s="37"/>
      <c r="B805" s="37"/>
      <c r="C805" s="32"/>
    </row>
    <row r="806">
      <c r="A806" s="37"/>
      <c r="B806" s="37"/>
      <c r="C806" s="32"/>
    </row>
    <row r="807">
      <c r="A807" s="37"/>
      <c r="B807" s="37"/>
      <c r="C807" s="32"/>
    </row>
    <row r="808">
      <c r="A808" s="37"/>
      <c r="B808" s="37"/>
      <c r="C808" s="32"/>
    </row>
    <row r="809">
      <c r="A809" s="37"/>
      <c r="B809" s="37"/>
      <c r="C809" s="32"/>
    </row>
    <row r="810">
      <c r="A810" s="37"/>
      <c r="B810" s="37"/>
      <c r="C810" s="32"/>
    </row>
    <row r="811">
      <c r="A811" s="37"/>
      <c r="B811" s="37"/>
      <c r="C811" s="32"/>
    </row>
    <row r="812">
      <c r="A812" s="37"/>
      <c r="B812" s="37"/>
      <c r="C812" s="32"/>
    </row>
    <row r="813">
      <c r="A813" s="37"/>
      <c r="B813" s="37"/>
      <c r="C813" s="32"/>
    </row>
    <row r="814">
      <c r="A814" s="37"/>
      <c r="B814" s="37"/>
      <c r="C814" s="32"/>
    </row>
    <row r="815">
      <c r="A815" s="37"/>
      <c r="B815" s="37"/>
      <c r="C815" s="32"/>
    </row>
    <row r="816">
      <c r="A816" s="37"/>
      <c r="B816" s="37"/>
      <c r="C816" s="32"/>
    </row>
    <row r="817">
      <c r="A817" s="37"/>
      <c r="B817" s="37"/>
      <c r="C817" s="32"/>
    </row>
    <row r="818">
      <c r="A818" s="37"/>
      <c r="B818" s="37"/>
      <c r="C818" s="32"/>
    </row>
    <row r="819">
      <c r="A819" s="37"/>
      <c r="B819" s="37"/>
      <c r="C819" s="32"/>
    </row>
    <row r="820">
      <c r="A820" s="37"/>
      <c r="B820" s="37"/>
      <c r="C820" s="32"/>
    </row>
    <row r="821">
      <c r="A821" s="37"/>
      <c r="B821" s="37"/>
      <c r="C821" s="32"/>
    </row>
    <row r="822">
      <c r="A822" s="37"/>
      <c r="B822" s="37"/>
      <c r="C822" s="32"/>
    </row>
    <row r="823">
      <c r="A823" s="37"/>
      <c r="B823" s="37"/>
      <c r="C823" s="32"/>
    </row>
    <row r="824">
      <c r="A824" s="37"/>
      <c r="B824" s="37"/>
      <c r="C824" s="32"/>
    </row>
    <row r="825">
      <c r="A825" s="37"/>
      <c r="B825" s="37"/>
      <c r="C825" s="32"/>
    </row>
    <row r="826">
      <c r="A826" s="37"/>
      <c r="B826" s="37"/>
      <c r="C826" s="32"/>
    </row>
    <row r="827">
      <c r="A827" s="37"/>
      <c r="B827" s="37"/>
      <c r="C827" s="32"/>
    </row>
    <row r="828">
      <c r="A828" s="37"/>
      <c r="B828" s="37"/>
      <c r="C828" s="32"/>
    </row>
    <row r="829">
      <c r="A829" s="37"/>
      <c r="B829" s="37"/>
      <c r="C829" s="32"/>
    </row>
    <row r="830">
      <c r="A830" s="37"/>
      <c r="B830" s="37"/>
      <c r="C830" s="32"/>
    </row>
    <row r="831">
      <c r="A831" s="37"/>
      <c r="B831" s="37"/>
      <c r="C831" s="32"/>
    </row>
    <row r="832">
      <c r="A832" s="37"/>
      <c r="B832" s="37"/>
      <c r="C832" s="32"/>
    </row>
    <row r="833">
      <c r="A833" s="37"/>
      <c r="B833" s="37"/>
      <c r="C833" s="32"/>
    </row>
    <row r="834">
      <c r="A834" s="37"/>
      <c r="B834" s="37"/>
      <c r="C834" s="32"/>
    </row>
    <row r="835">
      <c r="A835" s="37"/>
      <c r="B835" s="37"/>
      <c r="C835" s="32"/>
    </row>
    <row r="836">
      <c r="A836" s="37"/>
      <c r="B836" s="37"/>
      <c r="C836" s="32"/>
    </row>
    <row r="837">
      <c r="A837" s="37"/>
      <c r="B837" s="37"/>
      <c r="C837" s="32"/>
    </row>
    <row r="838">
      <c r="A838" s="37"/>
      <c r="B838" s="37"/>
      <c r="C838" s="32"/>
    </row>
    <row r="839">
      <c r="A839" s="37"/>
      <c r="B839" s="37"/>
      <c r="C839" s="32"/>
    </row>
    <row r="840">
      <c r="A840" s="37"/>
      <c r="B840" s="37"/>
      <c r="C840" s="32"/>
    </row>
    <row r="841">
      <c r="A841" s="37"/>
      <c r="B841" s="37"/>
      <c r="C841" s="32"/>
    </row>
    <row r="842">
      <c r="A842" s="37"/>
      <c r="B842" s="37"/>
      <c r="C842" s="32"/>
    </row>
    <row r="843">
      <c r="A843" s="37"/>
      <c r="B843" s="37"/>
      <c r="C843" s="32"/>
    </row>
    <row r="844">
      <c r="A844" s="37"/>
      <c r="B844" s="37"/>
      <c r="C844" s="32"/>
    </row>
    <row r="845">
      <c r="A845" s="37"/>
      <c r="B845" s="37"/>
      <c r="C845" s="32"/>
    </row>
    <row r="846">
      <c r="A846" s="37"/>
      <c r="B846" s="37"/>
      <c r="C846" s="32"/>
    </row>
    <row r="847">
      <c r="A847" s="37"/>
      <c r="B847" s="37"/>
      <c r="C847" s="32"/>
    </row>
    <row r="848">
      <c r="A848" s="37"/>
      <c r="B848" s="37"/>
      <c r="C848" s="32"/>
    </row>
    <row r="849">
      <c r="A849" s="37"/>
      <c r="B849" s="37"/>
      <c r="C849" s="32"/>
    </row>
    <row r="850">
      <c r="A850" s="37"/>
      <c r="B850" s="37"/>
      <c r="C850" s="32"/>
    </row>
    <row r="851">
      <c r="A851" s="37"/>
      <c r="B851" s="37"/>
      <c r="C851" s="32"/>
    </row>
    <row r="852">
      <c r="A852" s="37"/>
      <c r="B852" s="37"/>
      <c r="C852" s="32"/>
    </row>
    <row r="853">
      <c r="A853" s="37"/>
      <c r="B853" s="37"/>
      <c r="C853" s="32"/>
    </row>
    <row r="854">
      <c r="A854" s="37"/>
      <c r="B854" s="37"/>
      <c r="C854" s="32"/>
    </row>
    <row r="855">
      <c r="A855" s="37"/>
      <c r="B855" s="37"/>
      <c r="C855" s="32"/>
    </row>
    <row r="856">
      <c r="A856" s="37"/>
      <c r="B856" s="37"/>
      <c r="C856" s="32"/>
    </row>
    <row r="857">
      <c r="A857" s="37"/>
      <c r="B857" s="37"/>
      <c r="C857" s="32"/>
    </row>
    <row r="858">
      <c r="A858" s="37"/>
      <c r="B858" s="37"/>
      <c r="C858" s="32"/>
    </row>
    <row r="859">
      <c r="A859" s="37"/>
      <c r="B859" s="37"/>
      <c r="C859" s="32"/>
    </row>
  </sheetData>
  <mergeCells count="6">
    <mergeCell ref="A1:F1"/>
    <mergeCell ref="A2:A3"/>
    <mergeCell ref="B2:B3"/>
    <mergeCell ref="C2:C3"/>
    <mergeCell ref="D2:E2"/>
    <mergeCell ref="F2:F3"/>
  </mergeCells>
  <conditionalFormatting sqref="D2:E63">
    <cfRule type="containsText" dxfId="0" priority="1" operator="containsText" text="Đã">
      <formula>NOT(ISERROR(SEARCH(("Đã"),(D2))))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4.57"/>
    <col customWidth="1" min="3" max="3" width="58.43"/>
  </cols>
  <sheetData>
    <row r="1" ht="39.0" customHeight="1">
      <c r="A1" s="22" t="s">
        <v>650</v>
      </c>
    </row>
    <row r="2">
      <c r="A2" s="2" t="s">
        <v>1</v>
      </c>
      <c r="B2" s="38" t="s">
        <v>3</v>
      </c>
      <c r="C2" s="38" t="s">
        <v>4</v>
      </c>
      <c r="D2" s="5" t="s">
        <v>5</v>
      </c>
      <c r="E2" s="6"/>
      <c r="F2" s="4" t="s">
        <v>6</v>
      </c>
    </row>
    <row r="3" ht="25.5" customHeight="1">
      <c r="A3" s="7"/>
      <c r="B3" s="7"/>
      <c r="C3" s="7"/>
      <c r="D3" s="3" t="s">
        <v>651</v>
      </c>
      <c r="E3" s="3" t="s">
        <v>652</v>
      </c>
      <c r="F3" s="7"/>
    </row>
    <row r="4">
      <c r="A4" s="15">
        <v>1.0</v>
      </c>
      <c r="B4" s="39" t="s">
        <v>653</v>
      </c>
      <c r="C4" s="40" t="s">
        <v>654</v>
      </c>
      <c r="D4" s="14" t="str">
        <f>if(countifs(DATABASE!I:I,"Bảo trì",DATABASE!E:E,B4,DATABASE!A:A,"&gt;01/03/2021",DATABASE!A:A,"&lt;01/06/2021")&gt;=1,"Đã bảo trì","")</f>
        <v/>
      </c>
      <c r="E4" s="14" t="str">
        <f>if(countifs(DATABASE!I:I,"Bảo trì",DATABASE!E:E,B4,DATABASE!A:A,"&gt;01/06/2021",DATABASE!A:A,"&lt;01/09/2021")&gt;=1,"Đã bảo trì","")</f>
        <v/>
      </c>
      <c r="F4" s="14">
        <f>countifs(DATABASE!E:E,B4)</f>
        <v>0</v>
      </c>
    </row>
    <row r="5">
      <c r="A5" s="19">
        <v>2.0</v>
      </c>
      <c r="B5" s="41" t="s">
        <v>655</v>
      </c>
      <c r="C5" s="40" t="s">
        <v>656</v>
      </c>
      <c r="D5" s="14" t="str">
        <f>if(countifs(DATABASE!I:I,"Bảo trì",DATABASE!E:E,B5,DATABASE!A:A,"&gt;01/03/2021",DATABASE!A:A,"&lt;01/06/2021")&gt;=1,"Đã bảo trì","")</f>
        <v/>
      </c>
      <c r="E5" s="14" t="str">
        <f>if(countifs(DATABASE!I:I,"Bảo trì",DATABASE!E:E,B5,DATABASE!A:A,"&gt;01/06/2021",DATABASE!A:A,"&lt;01/09/2021")&gt;=1,"Đã bảo trì","")</f>
        <v/>
      </c>
      <c r="F5" s="14">
        <f>countifs(DATABASE!E:E,B5)</f>
        <v>0</v>
      </c>
    </row>
    <row r="6">
      <c r="A6" s="19">
        <v>3.0</v>
      </c>
      <c r="B6" s="41" t="s">
        <v>657</v>
      </c>
      <c r="C6" s="40" t="s">
        <v>658</v>
      </c>
      <c r="D6" s="14" t="str">
        <f>if(countifs(DATABASE!I:I,"Bảo trì",DATABASE!E:E,B6,DATABASE!A:A,"&gt;01/03/2021",DATABASE!A:A,"&lt;01/06/2021")&gt;=1,"Đã bảo trì","")</f>
        <v/>
      </c>
      <c r="E6" s="14" t="str">
        <f>if(countifs(DATABASE!I:I,"Bảo trì",DATABASE!E:E,B6,DATABASE!A:A,"&gt;01/06/2021",DATABASE!A:A,"&lt;01/09/2021")&gt;=1,"Đã bảo trì","")</f>
        <v/>
      </c>
      <c r="F6" s="14">
        <f>countifs(DATABASE!E:E,B6)</f>
        <v>0</v>
      </c>
    </row>
    <row r="7">
      <c r="A7" s="15">
        <v>4.0</v>
      </c>
      <c r="B7" s="41" t="s">
        <v>659</v>
      </c>
      <c r="C7" s="40" t="s">
        <v>660</v>
      </c>
      <c r="D7" s="14" t="str">
        <f>if(countifs(DATABASE!I:I,"Bảo trì",DATABASE!E:E,B7,DATABASE!A:A,"&gt;01/03/2021",DATABASE!A:A,"&lt;01/06/2021")&gt;=1,"Đã bảo trì","")</f>
        <v/>
      </c>
      <c r="E7" s="14" t="str">
        <f>if(countifs(DATABASE!I:I,"Bảo trì",DATABASE!E:E,B7,DATABASE!A:A,"&gt;01/06/2021",DATABASE!A:A,"&lt;01/09/2021")&gt;=1,"Đã bảo trì","")</f>
        <v/>
      </c>
      <c r="F7" s="14">
        <f>countifs(DATABASE!E:E,B7)</f>
        <v>0</v>
      </c>
    </row>
    <row r="8">
      <c r="A8" s="19">
        <v>5.0</v>
      </c>
      <c r="B8" s="41" t="s">
        <v>661</v>
      </c>
      <c r="C8" s="40" t="s">
        <v>662</v>
      </c>
      <c r="D8" s="14" t="str">
        <f>if(countifs(DATABASE!I:I,"Bảo trì",DATABASE!E:E,B8,DATABASE!A:A,"&gt;01/03/2021",DATABASE!A:A,"&lt;01/06/2021")&gt;=1,"Đã bảo trì","")</f>
        <v/>
      </c>
      <c r="E8" s="14" t="str">
        <f>if(countifs(DATABASE!I:I,"Bảo trì",DATABASE!E:E,B8,DATABASE!A:A,"&gt;01/06/2021",DATABASE!A:A,"&lt;01/09/2021")&gt;=1,"Đã bảo trì","")</f>
        <v/>
      </c>
      <c r="F8" s="14">
        <f>countifs(DATABASE!E:E,B8)</f>
        <v>0</v>
      </c>
    </row>
    <row r="9">
      <c r="A9" s="19">
        <v>6.0</v>
      </c>
      <c r="B9" s="41" t="s">
        <v>663</v>
      </c>
      <c r="C9" s="40" t="s">
        <v>664</v>
      </c>
      <c r="D9" s="14" t="str">
        <f>if(countifs(DATABASE!I:I,"Bảo trì",DATABASE!E:E,B9,DATABASE!A:A,"&gt;01/03/2021",DATABASE!A:A,"&lt;01/06/2021")&gt;=1,"Đã bảo trì","")</f>
        <v/>
      </c>
      <c r="E9" s="14" t="str">
        <f>if(countifs(DATABASE!I:I,"Bảo trì",DATABASE!E:E,B9,DATABASE!A:A,"&gt;01/06/2021",DATABASE!A:A,"&lt;01/09/2021")&gt;=1,"Đã bảo trì","")</f>
        <v/>
      </c>
      <c r="F9" s="14">
        <f>countifs(DATABASE!E:E,B9)</f>
        <v>0</v>
      </c>
    </row>
    <row r="10">
      <c r="A10" s="15">
        <v>7.0</v>
      </c>
      <c r="B10" s="41" t="s">
        <v>665</v>
      </c>
      <c r="C10" s="40" t="s">
        <v>666</v>
      </c>
      <c r="D10" s="14" t="str">
        <f>if(countifs(DATABASE!I:I,"Bảo trì",DATABASE!E:E,B10,DATABASE!A:A,"&gt;01/03/2021",DATABASE!A:A,"&lt;01/06/2021")&gt;=1,"Đã bảo trì","")</f>
        <v/>
      </c>
      <c r="E10" s="14" t="str">
        <f>if(countifs(DATABASE!I:I,"Bảo trì",DATABASE!E:E,B10,DATABASE!A:A,"&gt;01/06/2021",DATABASE!A:A,"&lt;01/09/2021")&gt;=1,"Đã bảo trì","")</f>
        <v/>
      </c>
      <c r="F10" s="14">
        <f>countifs(DATABASE!E:E,B10)</f>
        <v>0</v>
      </c>
    </row>
    <row r="11">
      <c r="A11" s="19">
        <v>8.0</v>
      </c>
      <c r="B11" s="41" t="s">
        <v>667</v>
      </c>
      <c r="C11" s="40" t="s">
        <v>668</v>
      </c>
      <c r="D11" s="14" t="str">
        <f>if(countifs(DATABASE!I:I,"Bảo trì",DATABASE!E:E,B11,DATABASE!A:A,"&gt;01/03/2021",DATABASE!A:A,"&lt;01/06/2021")&gt;=1,"Đã bảo trì","")</f>
        <v/>
      </c>
      <c r="E11" s="14" t="str">
        <f>if(countifs(DATABASE!I:I,"Bảo trì",DATABASE!E:E,B11,DATABASE!A:A,"&gt;01/06/2021",DATABASE!A:A,"&lt;01/09/2021")&gt;=1,"Đã bảo trì","")</f>
        <v/>
      </c>
      <c r="F11" s="14">
        <f>countifs(DATABASE!E:E,B11)</f>
        <v>0</v>
      </c>
    </row>
    <row r="12">
      <c r="A12" s="19">
        <v>9.0</v>
      </c>
      <c r="B12" s="41" t="s">
        <v>669</v>
      </c>
      <c r="C12" s="40" t="s">
        <v>670</v>
      </c>
      <c r="D12" s="14" t="str">
        <f>if(countifs(DATABASE!I:I,"Bảo trì",DATABASE!E:E,B12,DATABASE!A:A,"&gt;01/03/2021",DATABASE!A:A,"&lt;01/06/2021")&gt;=1,"Đã bảo trì","")</f>
        <v/>
      </c>
      <c r="E12" s="14" t="str">
        <f>if(countifs(DATABASE!I:I,"Bảo trì",DATABASE!E:E,B12,DATABASE!A:A,"&gt;01/06/2021",DATABASE!A:A,"&lt;01/09/2021")&gt;=1,"Đã bảo trì","")</f>
        <v/>
      </c>
      <c r="F12" s="14">
        <f>countifs(DATABASE!E:E,B12)</f>
        <v>0</v>
      </c>
    </row>
    <row r="13">
      <c r="A13" s="15">
        <v>10.0</v>
      </c>
      <c r="B13" s="41" t="s">
        <v>671</v>
      </c>
      <c r="C13" s="40" t="s">
        <v>672</v>
      </c>
      <c r="D13" s="14" t="str">
        <f>if(countifs(DATABASE!I:I,"Bảo trì",DATABASE!E:E,B13,DATABASE!A:A,"&gt;01/03/2021",DATABASE!A:A,"&lt;01/06/2021")&gt;=1,"Đã bảo trì","")</f>
        <v/>
      </c>
      <c r="E13" s="14" t="str">
        <f>if(countifs(DATABASE!I:I,"Bảo trì",DATABASE!E:E,B13,DATABASE!A:A,"&gt;01/06/2021",DATABASE!A:A,"&lt;01/09/2021")&gt;=1,"Đã bảo trì","")</f>
        <v/>
      </c>
      <c r="F13" s="14">
        <f>countifs(DATABASE!E:E,B13)</f>
        <v>0</v>
      </c>
    </row>
    <row r="14">
      <c r="A14" s="19">
        <v>11.0</v>
      </c>
      <c r="B14" s="41" t="s">
        <v>673</v>
      </c>
      <c r="C14" s="40" t="s">
        <v>674</v>
      </c>
      <c r="D14" s="14" t="str">
        <f>if(countifs(DATABASE!I:I,"Bảo trì",DATABASE!E:E,B14,DATABASE!A:A,"&gt;01/03/2021",DATABASE!A:A,"&lt;01/06/2021")&gt;=1,"Đã bảo trì","")</f>
        <v/>
      </c>
      <c r="E14" s="14" t="str">
        <f>if(countifs(DATABASE!I:I,"Bảo trì",DATABASE!E:E,B14,DATABASE!A:A,"&gt;01/06/2021",DATABASE!A:A,"&lt;01/09/2021")&gt;=1,"Đã bảo trì","")</f>
        <v/>
      </c>
      <c r="F14" s="14">
        <f>countifs(DATABASE!E:E,B14)</f>
        <v>0</v>
      </c>
    </row>
    <row r="15">
      <c r="A15" s="19">
        <v>12.0</v>
      </c>
      <c r="B15" s="41" t="s">
        <v>675</v>
      </c>
      <c r="C15" s="40" t="s">
        <v>676</v>
      </c>
      <c r="D15" s="14" t="str">
        <f>if(countifs(DATABASE!I:I,"Bảo trì",DATABASE!E:E,B15,DATABASE!A:A,"&gt;01/03/2021",DATABASE!A:A,"&lt;01/06/2021")&gt;=1,"Đã bảo trì","")</f>
        <v>Đã bảo trì</v>
      </c>
      <c r="E15" s="14" t="str">
        <f>if(countifs(DATABASE!I:I,"Bảo trì",DATABASE!E:E,B15,DATABASE!A:A,"&gt;01/06/2021",DATABASE!A:A,"&lt;01/09/2021")&gt;=1,"Đã bảo trì","")</f>
        <v/>
      </c>
      <c r="F15" s="14">
        <f>countifs(DATABASE!E:E,B15)</f>
        <v>2</v>
      </c>
    </row>
    <row r="16">
      <c r="A16" s="15">
        <v>13.0</v>
      </c>
      <c r="B16" s="41" t="s">
        <v>677</v>
      </c>
      <c r="C16" s="40" t="s">
        <v>676</v>
      </c>
      <c r="D16" s="14" t="str">
        <f>if(countifs(DATABASE!I:I,"Bảo trì",DATABASE!E:E,B16,DATABASE!A:A,"&gt;01/03/2021",DATABASE!A:A,"&lt;01/06/2021")&gt;=1,"Đã bảo trì","")</f>
        <v/>
      </c>
      <c r="E16" s="14" t="str">
        <f>if(countifs(DATABASE!I:I,"Bảo trì",DATABASE!E:E,B16,DATABASE!A:A,"&gt;01/06/2021",DATABASE!A:A,"&lt;01/09/2021")&gt;=1,"Đã bảo trì","")</f>
        <v/>
      </c>
      <c r="F16" s="14">
        <f>countifs(DATABASE!E:E,B16)</f>
        <v>0</v>
      </c>
    </row>
    <row r="17">
      <c r="A17" s="19">
        <v>14.0</v>
      </c>
      <c r="B17" s="41" t="s">
        <v>678</v>
      </c>
      <c r="C17" s="40" t="s">
        <v>679</v>
      </c>
      <c r="D17" s="14" t="str">
        <f>if(countifs(DATABASE!I:I,"Bảo trì",DATABASE!E:E,B17,DATABASE!A:A,"&gt;01/03/2021",DATABASE!A:A,"&lt;01/06/2021")&gt;=1,"Đã bảo trì","")</f>
        <v/>
      </c>
      <c r="E17" s="14" t="str">
        <f>if(countifs(DATABASE!I:I,"Bảo trì",DATABASE!E:E,B17,DATABASE!A:A,"&gt;01/06/2021",DATABASE!A:A,"&lt;01/09/2021")&gt;=1,"Đã bảo trì","")</f>
        <v/>
      </c>
      <c r="F17" s="14">
        <f>countifs(DATABASE!E:E,B17)</f>
        <v>0</v>
      </c>
    </row>
    <row r="18">
      <c r="A18" s="19">
        <v>15.0</v>
      </c>
      <c r="B18" s="41" t="s">
        <v>680</v>
      </c>
      <c r="C18" s="42" t="s">
        <v>681</v>
      </c>
      <c r="D18" s="14" t="str">
        <f>if(countifs(DATABASE!I:I,"Bảo trì",DATABASE!E:E,B18,DATABASE!A:A,"&gt;01/03/2021",DATABASE!A:A,"&lt;01/06/2021")&gt;=1,"Đã bảo trì","")</f>
        <v/>
      </c>
      <c r="E18" s="14" t="str">
        <f>if(countifs(DATABASE!I:I,"Bảo trì",DATABASE!E:E,B18,DATABASE!A:A,"&gt;01/06/2021",DATABASE!A:A,"&lt;01/09/2021")&gt;=1,"Đã bảo trì","")</f>
        <v/>
      </c>
      <c r="F18" s="14">
        <f>countifs(DATABASE!E:E,B18)</f>
        <v>0</v>
      </c>
    </row>
    <row r="19">
      <c r="A19" s="15">
        <v>16.0</v>
      </c>
      <c r="B19" s="41" t="s">
        <v>682</v>
      </c>
      <c r="C19" s="40" t="s">
        <v>683</v>
      </c>
      <c r="D19" s="14" t="str">
        <f>if(countifs(DATABASE!I:I,"Bảo trì",DATABASE!E:E,B19,DATABASE!A:A,"&gt;01/03/2021",DATABASE!A:A,"&lt;01/06/2021")&gt;=1,"Đã bảo trì","")</f>
        <v/>
      </c>
      <c r="E19" s="14" t="str">
        <f>if(countifs(DATABASE!I:I,"Bảo trì",DATABASE!E:E,B19,DATABASE!A:A,"&gt;01/06/2021",DATABASE!A:A,"&lt;01/09/2021")&gt;=1,"Đã bảo trì","")</f>
        <v/>
      </c>
      <c r="F19" s="14">
        <f>countifs(DATABASE!E:E,B19)</f>
        <v>0</v>
      </c>
    </row>
    <row r="20">
      <c r="A20" s="19">
        <v>17.0</v>
      </c>
      <c r="B20" s="41" t="s">
        <v>684</v>
      </c>
      <c r="C20" s="40" t="s">
        <v>685</v>
      </c>
      <c r="D20" s="14" t="str">
        <f>if(countifs(DATABASE!I:I,"Bảo trì",DATABASE!E:E,B20,DATABASE!A:A,"&gt;01/03/2021",DATABASE!A:A,"&lt;01/06/2021")&gt;=1,"Đã bảo trì","")</f>
        <v/>
      </c>
      <c r="E20" s="14" t="str">
        <f>if(countifs(DATABASE!I:I,"Bảo trì",DATABASE!E:E,B20,DATABASE!A:A,"&gt;01/06/2021",DATABASE!A:A,"&lt;01/09/2021")&gt;=1,"Đã bảo trì","")</f>
        <v/>
      </c>
      <c r="F20" s="14">
        <f>countifs(DATABASE!E:E,B20)</f>
        <v>0</v>
      </c>
    </row>
    <row r="21">
      <c r="A21" s="19">
        <v>18.0</v>
      </c>
      <c r="B21" s="41" t="s">
        <v>686</v>
      </c>
      <c r="C21" s="40" t="s">
        <v>687</v>
      </c>
      <c r="D21" s="14" t="str">
        <f>if(countifs(DATABASE!I:I,"Bảo trì",DATABASE!E:E,B21,DATABASE!A:A,"&gt;01/03/2021",DATABASE!A:A,"&lt;01/06/2021")&gt;=1,"Đã bảo trì","")</f>
        <v>Đã bảo trì</v>
      </c>
      <c r="E21" s="14" t="str">
        <f>if(countifs(DATABASE!I:I,"Bảo trì",DATABASE!E:E,B21,DATABASE!A:A,"&gt;01/06/2021",DATABASE!A:A,"&lt;01/09/2021")&gt;=1,"Đã bảo trì","")</f>
        <v/>
      </c>
      <c r="F21" s="14">
        <f>countifs(DATABASE!E:E,B21)</f>
        <v>2</v>
      </c>
    </row>
    <row r="22">
      <c r="A22" s="15">
        <v>19.0</v>
      </c>
      <c r="B22" s="41" t="s">
        <v>688</v>
      </c>
      <c r="C22" s="40" t="s">
        <v>689</v>
      </c>
      <c r="D22" s="14" t="str">
        <f>if(countifs(DATABASE!I:I,"Bảo trì",DATABASE!E:E,B22,DATABASE!A:A,"&gt;01/03/2021",DATABASE!A:A,"&lt;01/06/2021")&gt;=1,"Đã bảo trì","")</f>
        <v/>
      </c>
      <c r="E22" s="14" t="str">
        <f>if(countifs(DATABASE!I:I,"Bảo trì",DATABASE!E:E,B22,DATABASE!A:A,"&gt;01/06/2021",DATABASE!A:A,"&lt;01/09/2021")&gt;=1,"Đã bảo trì","")</f>
        <v/>
      </c>
      <c r="F22" s="14">
        <f>countifs(DATABASE!E:E,B22)</f>
        <v>1</v>
      </c>
    </row>
    <row r="23">
      <c r="A23" s="19">
        <v>20.0</v>
      </c>
      <c r="B23" s="41" t="s">
        <v>690</v>
      </c>
      <c r="C23" s="40" t="s">
        <v>691</v>
      </c>
      <c r="D23" s="14" t="str">
        <f>if(countifs(DATABASE!I:I,"Bảo trì",DATABASE!E:E,B23,DATABASE!A:A,"&gt;01/03/2021",DATABASE!A:A,"&lt;01/06/2021")&gt;=1,"Đã bảo trì","")</f>
        <v/>
      </c>
      <c r="E23" s="14" t="str">
        <f>if(countifs(DATABASE!I:I,"Bảo trì",DATABASE!E:E,B23,DATABASE!A:A,"&gt;01/06/2021",DATABASE!A:A,"&lt;01/09/2021")&gt;=1,"Đã bảo trì","")</f>
        <v/>
      </c>
      <c r="F23" s="14">
        <f>countifs(DATABASE!E:E,B23)</f>
        <v>0</v>
      </c>
    </row>
    <row r="24">
      <c r="A24" s="19">
        <v>21.0</v>
      </c>
      <c r="B24" s="41" t="s">
        <v>692</v>
      </c>
      <c r="C24" s="40" t="s">
        <v>693</v>
      </c>
      <c r="D24" s="14" t="str">
        <f>if(countifs(DATABASE!I:I,"Bảo trì",DATABASE!E:E,B24,DATABASE!A:A,"&gt;01/03/2021",DATABASE!A:A,"&lt;01/06/2021")&gt;=1,"Đã bảo trì","")</f>
        <v/>
      </c>
      <c r="E24" s="14" t="str">
        <f>if(countifs(DATABASE!I:I,"Bảo trì",DATABASE!E:E,B24,DATABASE!A:A,"&gt;01/06/2021",DATABASE!A:A,"&lt;01/09/2021")&gt;=1,"Đã bảo trì","")</f>
        <v/>
      </c>
      <c r="F24" s="14">
        <f>countifs(DATABASE!E:E,B24)</f>
        <v>0</v>
      </c>
    </row>
    <row r="25">
      <c r="A25" s="15">
        <v>22.0</v>
      </c>
      <c r="B25" s="41" t="s">
        <v>694</v>
      </c>
      <c r="C25" s="40" t="s">
        <v>695</v>
      </c>
      <c r="D25" s="14" t="str">
        <f>if(countifs(DATABASE!I:I,"Bảo trì",DATABASE!E:E,B25,DATABASE!A:A,"&gt;01/03/2021",DATABASE!A:A,"&lt;01/06/2021")&gt;=1,"Đã bảo trì","")</f>
        <v/>
      </c>
      <c r="E25" s="14" t="str">
        <f>if(countifs(DATABASE!I:I,"Bảo trì",DATABASE!E:E,B25,DATABASE!A:A,"&gt;01/06/2021",DATABASE!A:A,"&lt;01/09/2021")&gt;=1,"Đã bảo trì","")</f>
        <v/>
      </c>
      <c r="F25" s="14">
        <f>countifs(DATABASE!E:E,B25)</f>
        <v>0</v>
      </c>
    </row>
    <row r="26">
      <c r="A26" s="19">
        <v>23.0</v>
      </c>
      <c r="B26" s="41" t="s">
        <v>696</v>
      </c>
      <c r="C26" s="40" t="s">
        <v>697</v>
      </c>
      <c r="D26" s="14" t="str">
        <f>if(countifs(DATABASE!I:I,"Bảo trì",DATABASE!E:E,B26,DATABASE!A:A,"&gt;01/03/2021",DATABASE!A:A,"&lt;01/06/2021")&gt;=1,"Đã bảo trì","")</f>
        <v/>
      </c>
      <c r="E26" s="14" t="str">
        <f>if(countifs(DATABASE!I:I,"Bảo trì",DATABASE!E:E,B26,DATABASE!A:A,"&gt;01/06/2021",DATABASE!A:A,"&lt;01/09/2021")&gt;=1,"Đã bảo trì","")</f>
        <v/>
      </c>
      <c r="F26" s="14">
        <f>countifs(DATABASE!E:E,B26)</f>
        <v>0</v>
      </c>
    </row>
    <row r="27">
      <c r="A27" s="19">
        <v>24.0</v>
      </c>
      <c r="B27" s="41" t="s">
        <v>698</v>
      </c>
      <c r="C27" s="40" t="s">
        <v>699</v>
      </c>
      <c r="D27" s="14" t="str">
        <f>if(countifs(DATABASE!I:I,"Bảo trì",DATABASE!E:E,B27,DATABASE!A:A,"&gt;01/03/2021",DATABASE!A:A,"&lt;01/06/2021")&gt;=1,"Đã bảo trì","")</f>
        <v/>
      </c>
      <c r="E27" s="14" t="str">
        <f>if(countifs(DATABASE!I:I,"Bảo trì",DATABASE!E:E,B27,DATABASE!A:A,"&gt;01/06/2021",DATABASE!A:A,"&lt;01/09/2021")&gt;=1,"Đã bảo trì","")</f>
        <v/>
      </c>
      <c r="F27" s="14">
        <f>countifs(DATABASE!E:E,B27)</f>
        <v>0</v>
      </c>
    </row>
    <row r="28">
      <c r="A28" s="15">
        <v>25.0</v>
      </c>
      <c r="B28" s="41" t="s">
        <v>700</v>
      </c>
      <c r="C28" s="40" t="s">
        <v>701</v>
      </c>
      <c r="D28" s="14" t="str">
        <f>if(countifs(DATABASE!I:I,"Bảo trì",DATABASE!E:E,B28,DATABASE!A:A,"&gt;01/03/2021",DATABASE!A:A,"&lt;01/06/2021")&gt;=1,"Đã bảo trì","")</f>
        <v>Đã bảo trì</v>
      </c>
      <c r="E28" s="14" t="str">
        <f>if(countifs(DATABASE!I:I,"Bảo trì",DATABASE!E:E,B28,DATABASE!A:A,"&gt;01/06/2021",DATABASE!A:A,"&lt;01/09/2021")&gt;=1,"Đã bảo trì","")</f>
        <v/>
      </c>
      <c r="F28" s="14">
        <f>countifs(DATABASE!E:E,B28)</f>
        <v>1</v>
      </c>
    </row>
    <row r="29">
      <c r="A29" s="19">
        <v>26.0</v>
      </c>
      <c r="B29" s="41" t="s">
        <v>702</v>
      </c>
      <c r="C29" s="40" t="s">
        <v>703</v>
      </c>
      <c r="D29" s="14" t="str">
        <f>if(countifs(DATABASE!I:I,"Bảo trì",DATABASE!E:E,B29,DATABASE!A:A,"&gt;01/03/2021",DATABASE!A:A,"&lt;01/06/2021")&gt;=1,"Đã bảo trì","")</f>
        <v/>
      </c>
      <c r="E29" s="14" t="str">
        <f>if(countifs(DATABASE!I:I,"Bảo trì",DATABASE!E:E,B29,DATABASE!A:A,"&gt;01/06/2021",DATABASE!A:A,"&lt;01/09/2021")&gt;=1,"Đã bảo trì","")</f>
        <v/>
      </c>
      <c r="F29" s="14">
        <f>countifs(DATABASE!E:E,B29)</f>
        <v>0</v>
      </c>
    </row>
    <row r="30">
      <c r="A30" s="19">
        <v>27.0</v>
      </c>
      <c r="B30" s="41" t="s">
        <v>704</v>
      </c>
      <c r="C30" s="40" t="s">
        <v>705</v>
      </c>
      <c r="D30" s="14" t="str">
        <f>if(countifs(DATABASE!I:I,"Bảo trì",DATABASE!E:E,B30,DATABASE!A:A,"&gt;01/03/2021",DATABASE!A:A,"&lt;01/06/2021")&gt;=1,"Đã bảo trì","")</f>
        <v/>
      </c>
      <c r="E30" s="14" t="str">
        <f>if(countifs(DATABASE!I:I,"Bảo trì",DATABASE!E:E,B30,DATABASE!A:A,"&gt;01/06/2021",DATABASE!A:A,"&lt;01/09/2021")&gt;=1,"Đã bảo trì","")</f>
        <v/>
      </c>
      <c r="F30" s="14">
        <f>countifs(DATABASE!E:E,B30)</f>
        <v>0</v>
      </c>
    </row>
    <row r="31">
      <c r="A31" s="15">
        <v>28.0</v>
      </c>
      <c r="B31" s="41" t="s">
        <v>706</v>
      </c>
      <c r="C31" s="40" t="s">
        <v>707</v>
      </c>
      <c r="D31" s="14" t="str">
        <f>if(countifs(DATABASE!I:I,"Bảo trì",DATABASE!E:E,B31,DATABASE!A:A,"&gt;01/03/2021",DATABASE!A:A,"&lt;01/06/2021")&gt;=1,"Đã bảo trì","")</f>
        <v/>
      </c>
      <c r="E31" s="14" t="str">
        <f>if(countifs(DATABASE!I:I,"Bảo trì",DATABASE!E:E,B31,DATABASE!A:A,"&gt;01/06/2021",DATABASE!A:A,"&lt;01/09/2021")&gt;=1,"Đã bảo trì","")</f>
        <v/>
      </c>
      <c r="F31" s="14">
        <f>countifs(DATABASE!E:E,B31)</f>
        <v>0</v>
      </c>
    </row>
    <row r="32">
      <c r="A32" s="19">
        <v>29.0</v>
      </c>
      <c r="B32" s="41" t="s">
        <v>708</v>
      </c>
      <c r="C32" s="40" t="s">
        <v>709</v>
      </c>
      <c r="D32" s="14" t="str">
        <f>if(countifs(DATABASE!I:I,"Bảo trì",DATABASE!E:E,B32,DATABASE!A:A,"&gt;01/03/2021",DATABASE!A:A,"&lt;01/06/2021")&gt;=1,"Đã bảo trì","")</f>
        <v/>
      </c>
      <c r="E32" s="14" t="str">
        <f>if(countifs(DATABASE!I:I,"Bảo trì",DATABASE!E:E,B32,DATABASE!A:A,"&gt;01/06/2021",DATABASE!A:A,"&lt;01/09/2021")&gt;=1,"Đã bảo trì","")</f>
        <v/>
      </c>
      <c r="F32" s="14">
        <f>countifs(DATABASE!E:E,B32)</f>
        <v>0</v>
      </c>
    </row>
    <row r="33">
      <c r="A33" s="19">
        <v>30.0</v>
      </c>
      <c r="B33" s="41" t="s">
        <v>710</v>
      </c>
      <c r="C33" s="40" t="s">
        <v>711</v>
      </c>
      <c r="D33" s="14" t="str">
        <f>if(countifs(DATABASE!I:I,"Bảo trì",DATABASE!E:E,B33,DATABASE!A:A,"&gt;01/03/2021",DATABASE!A:A,"&lt;01/06/2021")&gt;=1,"Đã bảo trì","")</f>
        <v/>
      </c>
      <c r="E33" s="14" t="str">
        <f>if(countifs(DATABASE!I:I,"Bảo trì",DATABASE!E:E,B33,DATABASE!A:A,"&gt;01/06/2021",DATABASE!A:A,"&lt;01/09/2021")&gt;=1,"Đã bảo trì","")</f>
        <v/>
      </c>
      <c r="F33" s="14">
        <f>countifs(DATABASE!E:E,B33)</f>
        <v>0</v>
      </c>
    </row>
    <row r="34">
      <c r="A34" s="15">
        <v>31.0</v>
      </c>
      <c r="B34" s="41" t="s">
        <v>712</v>
      </c>
      <c r="C34" s="40" t="s">
        <v>713</v>
      </c>
      <c r="D34" s="14" t="str">
        <f>if(countifs(DATABASE!I:I,"Bảo trì",DATABASE!E:E,B34,DATABASE!A:A,"&gt;01/03/2021",DATABASE!A:A,"&lt;01/06/2021")&gt;=1,"Đã bảo trì","")</f>
        <v/>
      </c>
      <c r="E34" s="14" t="str">
        <f>if(countifs(DATABASE!I:I,"Bảo trì",DATABASE!E:E,B34,DATABASE!A:A,"&gt;01/06/2021",DATABASE!A:A,"&lt;01/09/2021")&gt;=1,"Đã bảo trì","")</f>
        <v/>
      </c>
      <c r="F34" s="14">
        <f>countifs(DATABASE!E:E,B34)</f>
        <v>0</v>
      </c>
    </row>
    <row r="35">
      <c r="A35" s="19">
        <v>32.0</v>
      </c>
      <c r="B35" s="41" t="s">
        <v>714</v>
      </c>
      <c r="C35" s="40" t="s">
        <v>715</v>
      </c>
      <c r="D35" s="14" t="str">
        <f>if(countifs(DATABASE!I:I,"Bảo trì",DATABASE!E:E,B35,DATABASE!A:A,"&gt;01/03/2021",DATABASE!A:A,"&lt;01/06/2021")&gt;=1,"Đã bảo trì","")</f>
        <v>Đã bảo trì</v>
      </c>
      <c r="E35" s="14" t="str">
        <f>if(countifs(DATABASE!I:I,"Bảo trì",DATABASE!E:E,B35,DATABASE!A:A,"&gt;01/06/2021",DATABASE!A:A,"&lt;01/09/2021")&gt;=1,"Đã bảo trì","")</f>
        <v/>
      </c>
      <c r="F35" s="14">
        <f>countifs(DATABASE!E:E,B35)</f>
        <v>2</v>
      </c>
    </row>
    <row r="36">
      <c r="A36" s="19">
        <v>33.0</v>
      </c>
      <c r="B36" s="41" t="s">
        <v>716</v>
      </c>
      <c r="C36" s="40" t="s">
        <v>717</v>
      </c>
      <c r="D36" s="14" t="str">
        <f>if(countifs(DATABASE!I:I,"Bảo trì",DATABASE!E:E,B36,DATABASE!A:A,"&gt;01/03/2021",DATABASE!A:A,"&lt;01/06/2021")&gt;=1,"Đã bảo trì","")</f>
        <v/>
      </c>
      <c r="E36" s="14" t="str">
        <f>if(countifs(DATABASE!I:I,"Bảo trì",DATABASE!E:E,B36,DATABASE!A:A,"&gt;01/06/2021",DATABASE!A:A,"&lt;01/09/2021")&gt;=1,"Đã bảo trì","")</f>
        <v/>
      </c>
      <c r="F36" s="14">
        <f>countifs(DATABASE!E:E,B36)</f>
        <v>2</v>
      </c>
    </row>
    <row r="37">
      <c r="A37" s="15">
        <v>34.0</v>
      </c>
      <c r="B37" s="41" t="s">
        <v>718</v>
      </c>
      <c r="C37" s="40" t="s">
        <v>719</v>
      </c>
      <c r="D37" s="14" t="str">
        <f>if(countifs(DATABASE!I:I,"Bảo trì",DATABASE!E:E,B37,DATABASE!A:A,"&gt;01/03/2021",DATABASE!A:A,"&lt;01/06/2021")&gt;=1,"Đã bảo trì","")</f>
        <v>Đã bảo trì</v>
      </c>
      <c r="E37" s="14" t="str">
        <f>if(countifs(DATABASE!I:I,"Bảo trì",DATABASE!E:E,B37,DATABASE!A:A,"&gt;01/06/2021",DATABASE!A:A,"&lt;01/09/2021")&gt;=1,"Đã bảo trì","")</f>
        <v/>
      </c>
      <c r="F37" s="14">
        <f>countifs(DATABASE!E:E,B37)</f>
        <v>1</v>
      </c>
    </row>
    <row r="38">
      <c r="A38" s="19">
        <v>35.0</v>
      </c>
      <c r="B38" s="41" t="s">
        <v>720</v>
      </c>
      <c r="C38" s="40" t="s">
        <v>721</v>
      </c>
      <c r="D38" s="14" t="str">
        <f>if(countifs(DATABASE!I:I,"Bảo trì",DATABASE!E:E,B38,DATABASE!A:A,"&gt;01/03/2021",DATABASE!A:A,"&lt;01/06/2021")&gt;=1,"Đã bảo trì","")</f>
        <v/>
      </c>
      <c r="E38" s="14" t="str">
        <f>if(countifs(DATABASE!I:I,"Bảo trì",DATABASE!E:E,B38,DATABASE!A:A,"&gt;01/06/2021",DATABASE!A:A,"&lt;01/09/2021")&gt;=1,"Đã bảo trì","")</f>
        <v/>
      </c>
      <c r="F38" s="14">
        <f>countifs(DATABASE!E:E,B38)</f>
        <v>0</v>
      </c>
    </row>
    <row r="39">
      <c r="A39" s="19">
        <v>36.0</v>
      </c>
      <c r="B39" s="41" t="s">
        <v>722</v>
      </c>
      <c r="C39" s="40" t="s">
        <v>723</v>
      </c>
      <c r="D39" s="14" t="str">
        <f>if(countifs(DATABASE!I:I,"Bảo trì",DATABASE!E:E,B39,DATABASE!A:A,"&gt;01/03/2021",DATABASE!A:A,"&lt;01/06/2021")&gt;=1,"Đã bảo trì","")</f>
        <v/>
      </c>
      <c r="E39" s="14" t="str">
        <f>if(countifs(DATABASE!I:I,"Bảo trì",DATABASE!E:E,B39,DATABASE!A:A,"&gt;01/06/2021",DATABASE!A:A,"&lt;01/09/2021")&gt;=1,"Đã bảo trì","")</f>
        <v/>
      </c>
      <c r="F39" s="14">
        <f>countifs(DATABASE!E:E,B39)</f>
        <v>0</v>
      </c>
    </row>
    <row r="40">
      <c r="A40" s="15">
        <v>37.0</v>
      </c>
      <c r="B40" s="41" t="s">
        <v>724</v>
      </c>
      <c r="C40" s="40" t="s">
        <v>725</v>
      </c>
      <c r="D40" s="14" t="str">
        <f>if(countifs(DATABASE!I:I,"Bảo trì",DATABASE!E:E,B40,DATABASE!A:A,"&gt;01/03/2021",DATABASE!A:A,"&lt;01/06/2021")&gt;=1,"Đã bảo trì","")</f>
        <v/>
      </c>
      <c r="E40" s="14" t="str">
        <f>if(countifs(DATABASE!I:I,"Bảo trì",DATABASE!E:E,B40,DATABASE!A:A,"&gt;01/06/2021",DATABASE!A:A,"&lt;01/09/2021")&gt;=1,"Đã bảo trì","")</f>
        <v/>
      </c>
      <c r="F40" s="14">
        <f>countifs(DATABASE!E:E,B40)</f>
        <v>0</v>
      </c>
    </row>
    <row r="41">
      <c r="A41" s="19">
        <v>38.0</v>
      </c>
      <c r="B41" s="41" t="s">
        <v>726</v>
      </c>
      <c r="C41" s="40" t="s">
        <v>727</v>
      </c>
      <c r="D41" s="14" t="str">
        <f>if(countifs(DATABASE!I:I,"Bảo trì",DATABASE!E:E,B41,DATABASE!A:A,"&gt;01/03/2021",DATABASE!A:A,"&lt;01/06/2021")&gt;=1,"Đã bảo trì","")</f>
        <v>Đã bảo trì</v>
      </c>
      <c r="E41" s="14" t="str">
        <f>if(countifs(DATABASE!I:I,"Bảo trì",DATABASE!E:E,B41,DATABASE!A:A,"&gt;01/06/2021",DATABASE!A:A,"&lt;01/09/2021")&gt;=1,"Đã bảo trì","")</f>
        <v/>
      </c>
      <c r="F41" s="14">
        <f>countifs(DATABASE!E:E,B41)</f>
        <v>1</v>
      </c>
    </row>
    <row r="42">
      <c r="A42" s="19">
        <v>39.0</v>
      </c>
      <c r="B42" s="41" t="s">
        <v>728</v>
      </c>
      <c r="C42" s="40" t="s">
        <v>729</v>
      </c>
      <c r="D42" s="14" t="str">
        <f>if(countifs(DATABASE!I:I,"Bảo trì",DATABASE!E:E,B42,DATABASE!A:A,"&gt;01/03/2021",DATABASE!A:A,"&lt;01/06/2021")&gt;=1,"Đã bảo trì","")</f>
        <v/>
      </c>
      <c r="E42" s="14" t="str">
        <f>if(countifs(DATABASE!I:I,"Bảo trì",DATABASE!E:E,B42,DATABASE!A:A,"&gt;01/06/2021",DATABASE!A:A,"&lt;01/09/2021")&gt;=1,"Đã bảo trì","")</f>
        <v/>
      </c>
      <c r="F42" s="14">
        <f>countifs(DATABASE!E:E,B42)</f>
        <v>1</v>
      </c>
    </row>
    <row r="43">
      <c r="A43" s="15">
        <v>40.0</v>
      </c>
      <c r="B43" s="41" t="s">
        <v>730</v>
      </c>
      <c r="C43" s="40" t="s">
        <v>731</v>
      </c>
      <c r="D43" s="14" t="str">
        <f>if(countifs(DATABASE!I:I,"Bảo trì",DATABASE!E:E,B43,DATABASE!A:A,"&gt;01/03/2021",DATABASE!A:A,"&lt;01/06/2021")&gt;=1,"Đã bảo trì","")</f>
        <v/>
      </c>
      <c r="E43" s="14" t="str">
        <f>if(countifs(DATABASE!I:I,"Bảo trì",DATABASE!E:E,B43,DATABASE!A:A,"&gt;01/06/2021",DATABASE!A:A,"&lt;01/09/2021")&gt;=1,"Đã bảo trì","")</f>
        <v/>
      </c>
      <c r="F43" s="14">
        <f>countifs(DATABASE!E:E,B43)</f>
        <v>0</v>
      </c>
    </row>
    <row r="44">
      <c r="A44" s="19">
        <v>41.0</v>
      </c>
      <c r="B44" s="41" t="s">
        <v>732</v>
      </c>
      <c r="C44" s="40" t="s">
        <v>733</v>
      </c>
      <c r="D44" s="14" t="str">
        <f>if(countifs(DATABASE!I:I,"Bảo trì",DATABASE!E:E,B44,DATABASE!A:A,"&gt;01/03/2021",DATABASE!A:A,"&lt;01/06/2021")&gt;=1,"Đã bảo trì","")</f>
        <v/>
      </c>
      <c r="E44" s="14" t="str">
        <f>if(countifs(DATABASE!I:I,"Bảo trì",DATABASE!E:E,B44,DATABASE!A:A,"&gt;01/06/2021",DATABASE!A:A,"&lt;01/09/2021")&gt;=1,"Đã bảo trì","")</f>
        <v/>
      </c>
      <c r="F44" s="14">
        <f>countifs(DATABASE!E:E,B44)</f>
        <v>0</v>
      </c>
    </row>
    <row r="45">
      <c r="A45" s="19">
        <v>42.0</v>
      </c>
      <c r="B45" s="41" t="s">
        <v>734</v>
      </c>
      <c r="C45" s="40" t="s">
        <v>735</v>
      </c>
      <c r="D45" s="14" t="str">
        <f>if(countifs(DATABASE!I:I,"Bảo trì",DATABASE!E:E,B45,DATABASE!A:A,"&gt;01/03/2021",DATABASE!A:A,"&lt;01/06/2021")&gt;=1,"Đã bảo trì","")</f>
        <v/>
      </c>
      <c r="E45" s="14" t="str">
        <f>if(countifs(DATABASE!I:I,"Bảo trì",DATABASE!E:E,B45,DATABASE!A:A,"&gt;01/06/2021",DATABASE!A:A,"&lt;01/09/2021")&gt;=1,"Đã bảo trì","")</f>
        <v/>
      </c>
      <c r="F45" s="14">
        <f>countifs(DATABASE!E:E,B45)</f>
        <v>0</v>
      </c>
    </row>
    <row r="46">
      <c r="A46" s="15">
        <v>43.0</v>
      </c>
      <c r="B46" s="41" t="s">
        <v>736</v>
      </c>
      <c r="C46" s="40" t="s">
        <v>737</v>
      </c>
      <c r="D46" s="14" t="str">
        <f>if(countifs(DATABASE!I:I,"Bảo trì",DATABASE!E:E,B46,DATABASE!A:A,"&gt;01/03/2021",DATABASE!A:A,"&lt;01/06/2021")&gt;=1,"Đã bảo trì","")</f>
        <v>Đã bảo trì</v>
      </c>
      <c r="E46" s="14" t="str">
        <f>if(countifs(DATABASE!I:I,"Bảo trì",DATABASE!E:E,B46,DATABASE!A:A,"&gt;01/06/2021",DATABASE!A:A,"&lt;01/09/2021")&gt;=1,"Đã bảo trì","")</f>
        <v/>
      </c>
      <c r="F46" s="14">
        <f>countifs(DATABASE!E:E,B46)</f>
        <v>1</v>
      </c>
    </row>
    <row r="47">
      <c r="A47" s="19">
        <v>44.0</v>
      </c>
      <c r="B47" s="41" t="s">
        <v>738</v>
      </c>
      <c r="C47" s="40" t="s">
        <v>739</v>
      </c>
      <c r="D47" s="14" t="str">
        <f>if(countifs(DATABASE!I:I,"Bảo trì",DATABASE!E:E,B47,DATABASE!A:A,"&gt;01/03/2021",DATABASE!A:A,"&lt;01/06/2021")&gt;=1,"Đã bảo trì","")</f>
        <v/>
      </c>
      <c r="E47" s="14" t="str">
        <f>if(countifs(DATABASE!I:I,"Bảo trì",DATABASE!E:E,B47,DATABASE!A:A,"&gt;01/06/2021",DATABASE!A:A,"&lt;01/09/2021")&gt;=1,"Đã bảo trì","")</f>
        <v/>
      </c>
      <c r="F47" s="14">
        <f>countifs(DATABASE!E:E,B47)</f>
        <v>0</v>
      </c>
    </row>
    <row r="48">
      <c r="A48" s="19">
        <v>45.0</v>
      </c>
      <c r="B48" s="41" t="s">
        <v>740</v>
      </c>
      <c r="C48" s="40" t="s">
        <v>741</v>
      </c>
      <c r="D48" s="14" t="str">
        <f>if(countifs(DATABASE!I:I,"Bảo trì",DATABASE!E:E,B48,DATABASE!A:A,"&gt;01/03/2021",DATABASE!A:A,"&lt;01/06/2021")&gt;=1,"Đã bảo trì","")</f>
        <v/>
      </c>
      <c r="E48" s="14" t="str">
        <f>if(countifs(DATABASE!I:I,"Bảo trì",DATABASE!E:E,B48,DATABASE!A:A,"&gt;01/06/2021",DATABASE!A:A,"&lt;01/09/2021")&gt;=1,"Đã bảo trì","")</f>
        <v/>
      </c>
      <c r="F48" s="14">
        <f>countifs(DATABASE!E:E,B48)</f>
        <v>0</v>
      </c>
    </row>
    <row r="49">
      <c r="A49" s="15">
        <v>46.0</v>
      </c>
      <c r="B49" s="41" t="s">
        <v>742</v>
      </c>
      <c r="C49" s="40" t="s">
        <v>743</v>
      </c>
      <c r="D49" s="14" t="str">
        <f>if(countifs(DATABASE!I:I,"Bảo trì",DATABASE!E:E,B49,DATABASE!A:A,"&gt;01/03/2021",DATABASE!A:A,"&lt;01/06/2021")&gt;=1,"Đã bảo trì","")</f>
        <v>Đã bảo trì</v>
      </c>
      <c r="E49" s="14" t="str">
        <f>if(countifs(DATABASE!I:I,"Bảo trì",DATABASE!E:E,B49,DATABASE!A:A,"&gt;01/06/2021",DATABASE!A:A,"&lt;01/09/2021")&gt;=1,"Đã bảo trì","")</f>
        <v/>
      </c>
      <c r="F49" s="14">
        <f>countifs(DATABASE!E:E,B49)</f>
        <v>1</v>
      </c>
    </row>
    <row r="50">
      <c r="A50" s="19">
        <v>47.0</v>
      </c>
      <c r="B50" s="41" t="s">
        <v>744</v>
      </c>
      <c r="C50" s="40" t="s">
        <v>745</v>
      </c>
      <c r="D50" s="14" t="str">
        <f>if(countifs(DATABASE!I:I,"Bảo trì",DATABASE!E:E,B50,DATABASE!A:A,"&gt;01/03/2021",DATABASE!A:A,"&lt;01/06/2021")&gt;=1,"Đã bảo trì","")</f>
        <v>Đã bảo trì</v>
      </c>
      <c r="E50" s="14" t="str">
        <f>if(countifs(DATABASE!I:I,"Bảo trì",DATABASE!E:E,B50,DATABASE!A:A,"&gt;01/06/2021",DATABASE!A:A,"&lt;01/09/2021")&gt;=1,"Đã bảo trì","")</f>
        <v/>
      </c>
      <c r="F50" s="14">
        <f>countifs(DATABASE!E:E,B50)</f>
        <v>1</v>
      </c>
    </row>
    <row r="51">
      <c r="A51" s="19">
        <v>48.0</v>
      </c>
      <c r="B51" s="41" t="s">
        <v>746</v>
      </c>
      <c r="C51" s="43" t="s">
        <v>747</v>
      </c>
      <c r="D51" s="14" t="str">
        <f>if(countifs(DATABASE!I:I,"Bảo trì",DATABASE!E:E,B51,DATABASE!A:A,"&gt;01/03/2021",DATABASE!A:A,"&lt;01/06/2021")&gt;=1,"Đã bảo trì","")</f>
        <v/>
      </c>
      <c r="E51" s="14" t="str">
        <f>if(countifs(DATABASE!I:I,"Bảo trì",DATABASE!E:E,B51,DATABASE!A:A,"&gt;01/06/2021",DATABASE!A:A,"&lt;01/09/2021")&gt;=1,"Đã bảo trì","")</f>
        <v/>
      </c>
      <c r="F51" s="14">
        <f>countifs(DATABASE!E:E,B51)</f>
        <v>0</v>
      </c>
    </row>
    <row r="52">
      <c r="A52" s="15">
        <v>49.0</v>
      </c>
      <c r="B52" s="41" t="s">
        <v>748</v>
      </c>
      <c r="C52" s="43" t="s">
        <v>749</v>
      </c>
      <c r="D52" s="14" t="str">
        <f>if(countifs(DATABASE!I:I,"Bảo trì",DATABASE!E:E,B52,DATABASE!A:A,"&gt;01/03/2021",DATABASE!A:A,"&lt;01/06/2021")&gt;=1,"Đã bảo trì","")</f>
        <v/>
      </c>
      <c r="E52" s="14" t="str">
        <f>if(countifs(DATABASE!I:I,"Bảo trì",DATABASE!E:E,B52,DATABASE!A:A,"&gt;01/06/2021",DATABASE!A:A,"&lt;01/09/2021")&gt;=1,"Đã bảo trì","")</f>
        <v/>
      </c>
      <c r="F52" s="14">
        <f>countifs(DATABASE!E:E,B52)</f>
        <v>0</v>
      </c>
    </row>
    <row r="53">
      <c r="A53" s="19">
        <v>50.0</v>
      </c>
      <c r="B53" s="41" t="s">
        <v>750</v>
      </c>
      <c r="C53" s="43" t="s">
        <v>751</v>
      </c>
      <c r="D53" s="14" t="str">
        <f>if(countifs(DATABASE!I:I,"Bảo trì",DATABASE!E:E,B53,DATABASE!A:A,"&gt;01/03/2021",DATABASE!A:A,"&lt;01/06/2021")&gt;=1,"Đã bảo trì","")</f>
        <v/>
      </c>
      <c r="E53" s="14" t="str">
        <f>if(countifs(DATABASE!I:I,"Bảo trì",DATABASE!E:E,B53,DATABASE!A:A,"&gt;01/06/2021",DATABASE!A:A,"&lt;01/09/2021")&gt;=1,"Đã bảo trì","")</f>
        <v/>
      </c>
      <c r="F53" s="14">
        <f>countifs(DATABASE!E:E,B53)</f>
        <v>0</v>
      </c>
    </row>
    <row r="54">
      <c r="A54" s="19">
        <v>51.0</v>
      </c>
      <c r="B54" s="41" t="s">
        <v>752</v>
      </c>
      <c r="C54" s="43" t="s">
        <v>753</v>
      </c>
      <c r="D54" s="14" t="str">
        <f>if(countifs(DATABASE!I:I,"Bảo trì",DATABASE!E:E,B54,DATABASE!A:A,"&gt;01/03/2021",DATABASE!A:A,"&lt;01/06/2021")&gt;=1,"Đã bảo trì","")</f>
        <v/>
      </c>
      <c r="E54" s="14" t="str">
        <f>if(countifs(DATABASE!I:I,"Bảo trì",DATABASE!E:E,B54,DATABASE!A:A,"&gt;01/06/2021",DATABASE!A:A,"&lt;01/09/2021")&gt;=1,"Đã bảo trì","")</f>
        <v/>
      </c>
      <c r="F54" s="14">
        <f>countifs(DATABASE!E:E,B54)</f>
        <v>0</v>
      </c>
    </row>
    <row r="55">
      <c r="A55" s="15">
        <v>52.0</v>
      </c>
      <c r="B55" s="41" t="s">
        <v>754</v>
      </c>
      <c r="C55" s="43" t="s">
        <v>755</v>
      </c>
      <c r="D55" s="14" t="str">
        <f>if(countifs(DATABASE!I:I,"Bảo trì",DATABASE!E:E,B55,DATABASE!A:A,"&gt;01/03/2021",DATABASE!A:A,"&lt;01/06/2021")&gt;=1,"Đã bảo trì","")</f>
        <v/>
      </c>
      <c r="E55" s="14" t="str">
        <f>if(countifs(DATABASE!I:I,"Bảo trì",DATABASE!E:E,B55,DATABASE!A:A,"&gt;01/06/2021",DATABASE!A:A,"&lt;01/09/2021")&gt;=1,"Đã bảo trì","")</f>
        <v/>
      </c>
      <c r="F55" s="14">
        <f>countifs(DATABASE!E:E,B55)</f>
        <v>0</v>
      </c>
    </row>
    <row r="56">
      <c r="A56" s="19">
        <v>53.0</v>
      </c>
      <c r="B56" s="41" t="s">
        <v>756</v>
      </c>
      <c r="C56" s="40" t="s">
        <v>757</v>
      </c>
      <c r="D56" s="14" t="str">
        <f>if(countifs(DATABASE!I:I,"Bảo trì",DATABASE!E:E,B56,DATABASE!A:A,"&gt;01/03/2021",DATABASE!A:A,"&lt;01/06/2021")&gt;=1,"Đã bảo trì","")</f>
        <v/>
      </c>
      <c r="E56" s="14" t="str">
        <f>if(countifs(DATABASE!I:I,"Bảo trì",DATABASE!E:E,B56,DATABASE!A:A,"&gt;01/06/2021",DATABASE!A:A,"&lt;01/09/2021")&gt;=1,"Đã bảo trì","")</f>
        <v/>
      </c>
      <c r="F56" s="14">
        <f>countifs(DATABASE!E:E,B56)</f>
        <v>0</v>
      </c>
    </row>
    <row r="57">
      <c r="A57" s="19">
        <v>54.0</v>
      </c>
      <c r="B57" s="41" t="s">
        <v>758</v>
      </c>
      <c r="C57" s="40" t="s">
        <v>759</v>
      </c>
      <c r="D57" s="14" t="str">
        <f>if(countifs(DATABASE!I:I,"Bảo trì",DATABASE!E:E,B57,DATABASE!A:A,"&gt;01/03/2021",DATABASE!A:A,"&lt;01/06/2021")&gt;=1,"Đã bảo trì","")</f>
        <v/>
      </c>
      <c r="E57" s="14" t="str">
        <f>if(countifs(DATABASE!I:I,"Bảo trì",DATABASE!E:E,B57,DATABASE!A:A,"&gt;01/06/2021",DATABASE!A:A,"&lt;01/09/2021")&gt;=1,"Đã bảo trì","")</f>
        <v/>
      </c>
      <c r="F57" s="14">
        <f>countifs(DATABASE!E:E,B57)</f>
        <v>0</v>
      </c>
    </row>
    <row r="58">
      <c r="A58" s="15">
        <v>55.0</v>
      </c>
      <c r="B58" s="41" t="s">
        <v>760</v>
      </c>
      <c r="C58" s="40" t="s">
        <v>761</v>
      </c>
      <c r="D58" s="14" t="str">
        <f>if(countifs(DATABASE!I:I,"Bảo trì",DATABASE!E:E,B58,DATABASE!A:A,"&gt;01/03/2021",DATABASE!A:A,"&lt;01/06/2021")&gt;=1,"Đã bảo trì","")</f>
        <v/>
      </c>
      <c r="E58" s="14" t="str">
        <f>if(countifs(DATABASE!I:I,"Bảo trì",DATABASE!E:E,B58,DATABASE!A:A,"&gt;01/06/2021",DATABASE!A:A,"&lt;01/09/2021")&gt;=1,"Đã bảo trì","")</f>
        <v/>
      </c>
      <c r="F58" s="14">
        <f>countifs(DATABASE!E:E,B58)</f>
        <v>0</v>
      </c>
    </row>
    <row r="59">
      <c r="A59" s="19">
        <v>56.0</v>
      </c>
      <c r="B59" s="41" t="s">
        <v>762</v>
      </c>
      <c r="C59" s="40" t="s">
        <v>763</v>
      </c>
      <c r="D59" s="14" t="str">
        <f>if(countifs(DATABASE!I:I,"Bảo trì",DATABASE!E:E,B59,DATABASE!A:A,"&gt;01/03/2021",DATABASE!A:A,"&lt;01/06/2021")&gt;=1,"Đã bảo trì","")</f>
        <v/>
      </c>
      <c r="E59" s="14" t="str">
        <f>if(countifs(DATABASE!I:I,"Bảo trì",DATABASE!E:E,B59,DATABASE!A:A,"&gt;01/06/2021",DATABASE!A:A,"&lt;01/09/2021")&gt;=1,"Đã bảo trì","")</f>
        <v/>
      </c>
      <c r="F59" s="14">
        <f>countifs(DATABASE!E:E,B59)</f>
        <v>0</v>
      </c>
    </row>
    <row r="60">
      <c r="A60" s="19">
        <v>57.0</v>
      </c>
      <c r="B60" s="41" t="s">
        <v>764</v>
      </c>
      <c r="C60" s="40" t="s">
        <v>765</v>
      </c>
      <c r="D60" s="14" t="str">
        <f>if(countifs(DATABASE!I:I,"Bảo trì",DATABASE!E:E,B60,DATABASE!A:A,"&gt;01/03/2021",DATABASE!A:A,"&lt;01/06/2021")&gt;=1,"Đã bảo trì","")</f>
        <v/>
      </c>
      <c r="E60" s="14" t="str">
        <f>if(countifs(DATABASE!I:I,"Bảo trì",DATABASE!E:E,B60,DATABASE!A:A,"&gt;01/06/2021",DATABASE!A:A,"&lt;01/09/2021")&gt;=1,"Đã bảo trì","")</f>
        <v/>
      </c>
      <c r="F60" s="14">
        <f>countifs(DATABASE!E:E,B60)</f>
        <v>0</v>
      </c>
    </row>
    <row r="61">
      <c r="A61" s="15">
        <v>58.0</v>
      </c>
      <c r="B61" s="41" t="s">
        <v>766</v>
      </c>
      <c r="C61" s="40" t="s">
        <v>767</v>
      </c>
      <c r="D61" s="14" t="str">
        <f>if(countifs(DATABASE!I:I,"Bảo trì",DATABASE!E:E,B61,DATABASE!A:A,"&gt;01/03/2021",DATABASE!A:A,"&lt;01/06/2021")&gt;=1,"Đã bảo trì","")</f>
        <v/>
      </c>
      <c r="E61" s="14" t="str">
        <f>if(countifs(DATABASE!I:I,"Bảo trì",DATABASE!E:E,B61,DATABASE!A:A,"&gt;01/06/2021",DATABASE!A:A,"&lt;01/09/2021")&gt;=1,"Đã bảo trì","")</f>
        <v/>
      </c>
      <c r="F61" s="14">
        <f>countifs(DATABASE!E:E,B61)</f>
        <v>0</v>
      </c>
    </row>
    <row r="62">
      <c r="A62" s="19">
        <v>59.0</v>
      </c>
      <c r="B62" s="41" t="s">
        <v>768</v>
      </c>
      <c r="C62" s="40" t="s">
        <v>769</v>
      </c>
      <c r="D62" s="14" t="str">
        <f>if(countifs(DATABASE!I:I,"Bảo trì",DATABASE!E:E,B62,DATABASE!A:A,"&gt;01/03/2021",DATABASE!A:A,"&lt;01/06/2021")&gt;=1,"Đã bảo trì","")</f>
        <v/>
      </c>
      <c r="E62" s="14" t="str">
        <f>if(countifs(DATABASE!I:I,"Bảo trì",DATABASE!E:E,B62,DATABASE!A:A,"&gt;01/06/2021",DATABASE!A:A,"&lt;01/09/2021")&gt;=1,"Đã bảo trì","")</f>
        <v/>
      </c>
      <c r="F62" s="14">
        <f>countifs(DATABASE!E:E,B62)</f>
        <v>0</v>
      </c>
    </row>
    <row r="63">
      <c r="A63" s="19">
        <v>60.0</v>
      </c>
      <c r="B63" s="41" t="s">
        <v>770</v>
      </c>
      <c r="C63" s="40" t="s">
        <v>771</v>
      </c>
      <c r="D63" s="14" t="str">
        <f>if(countifs(DATABASE!I:I,"Bảo trì",DATABASE!E:E,B63,DATABASE!A:A,"&gt;01/03/2021",DATABASE!A:A,"&lt;01/06/2021")&gt;=1,"Đã bảo trì","")</f>
        <v/>
      </c>
      <c r="E63" s="14" t="str">
        <f>if(countifs(DATABASE!I:I,"Bảo trì",DATABASE!E:E,B63,DATABASE!A:A,"&gt;01/06/2021",DATABASE!A:A,"&lt;01/09/2021")&gt;=1,"Đã bảo trì","")</f>
        <v/>
      </c>
      <c r="F63" s="14">
        <f>countifs(DATABASE!E:E,B63)</f>
        <v>0</v>
      </c>
    </row>
    <row r="64">
      <c r="A64" s="15">
        <v>61.0</v>
      </c>
      <c r="B64" s="41" t="s">
        <v>772</v>
      </c>
      <c r="C64" s="40" t="s">
        <v>773</v>
      </c>
      <c r="D64" s="14" t="str">
        <f>if(countifs(DATABASE!I:I,"Bảo trì",DATABASE!E:E,B64,DATABASE!A:A,"&gt;01/03/2021",DATABASE!A:A,"&lt;01/06/2021")&gt;=1,"Đã bảo trì","")</f>
        <v/>
      </c>
      <c r="E64" s="14" t="str">
        <f>if(countifs(DATABASE!I:I,"Bảo trì",DATABASE!E:E,B64,DATABASE!A:A,"&gt;01/06/2021",DATABASE!A:A,"&lt;01/09/2021")&gt;=1,"Đã bảo trì","")</f>
        <v/>
      </c>
      <c r="F64" s="14">
        <f>countifs(DATABASE!E:E,B64)</f>
        <v>0</v>
      </c>
    </row>
    <row r="65">
      <c r="A65" s="19">
        <v>62.0</v>
      </c>
      <c r="B65" s="41" t="s">
        <v>774</v>
      </c>
      <c r="C65" s="40" t="s">
        <v>775</v>
      </c>
      <c r="D65" s="14" t="str">
        <f>if(countifs(DATABASE!I:I,"Bảo trì",DATABASE!E:E,B65,DATABASE!A:A,"&gt;01/03/2021",DATABASE!A:A,"&lt;01/06/2021")&gt;=1,"Đã bảo trì","")</f>
        <v/>
      </c>
      <c r="E65" s="14" t="str">
        <f>if(countifs(DATABASE!I:I,"Bảo trì",DATABASE!E:E,B65,DATABASE!A:A,"&gt;01/06/2021",DATABASE!A:A,"&lt;01/09/2021")&gt;=1,"Đã bảo trì","")</f>
        <v/>
      </c>
      <c r="F65" s="14">
        <f>countifs(DATABASE!E:E,B65)</f>
        <v>0</v>
      </c>
    </row>
    <row r="66">
      <c r="A66" s="19">
        <v>63.0</v>
      </c>
      <c r="B66" s="41" t="s">
        <v>776</v>
      </c>
      <c r="C66" s="40" t="s">
        <v>777</v>
      </c>
      <c r="D66" s="14" t="str">
        <f>if(countifs(DATABASE!I:I,"Bảo trì",DATABASE!E:E,B66,DATABASE!A:A,"&gt;01/03/2021",DATABASE!A:A,"&lt;01/06/2021")&gt;=1,"Đã bảo trì","")</f>
        <v>Đã bảo trì</v>
      </c>
      <c r="E66" s="14" t="str">
        <f>if(countifs(DATABASE!I:I,"Bảo trì",DATABASE!E:E,B66,DATABASE!A:A,"&gt;01/06/2021",DATABASE!A:A,"&lt;01/09/2021")&gt;=1,"Đã bảo trì","")</f>
        <v/>
      </c>
      <c r="F66" s="14">
        <f>countifs(DATABASE!E:E,B66)</f>
        <v>1</v>
      </c>
    </row>
    <row r="67">
      <c r="A67" s="15">
        <v>64.0</v>
      </c>
      <c r="B67" s="41" t="s">
        <v>778</v>
      </c>
      <c r="C67" s="40" t="s">
        <v>779</v>
      </c>
      <c r="D67" s="14" t="str">
        <f>if(countifs(DATABASE!I:I,"Bảo trì",DATABASE!E:E,B67,DATABASE!A:A,"&gt;01/03/2021",DATABASE!A:A,"&lt;01/06/2021")&gt;=1,"Đã bảo trì","")</f>
        <v>Đã bảo trì</v>
      </c>
      <c r="E67" s="14" t="str">
        <f>if(countifs(DATABASE!I:I,"Bảo trì",DATABASE!E:E,B67,DATABASE!A:A,"&gt;01/06/2021",DATABASE!A:A,"&lt;01/09/2021")&gt;=1,"Đã bảo trì","")</f>
        <v/>
      </c>
      <c r="F67" s="14">
        <f>countifs(DATABASE!E:E,B67)</f>
        <v>1</v>
      </c>
    </row>
    <row r="68">
      <c r="A68" s="19">
        <v>65.0</v>
      </c>
      <c r="B68" s="41" t="s">
        <v>780</v>
      </c>
      <c r="C68" s="40" t="s">
        <v>781</v>
      </c>
      <c r="D68" s="14" t="str">
        <f>if(countifs(DATABASE!I:I,"Bảo trì",DATABASE!E:E,B68,DATABASE!A:A,"&gt;01/03/2021",DATABASE!A:A,"&lt;01/06/2021")&gt;=1,"Đã bảo trì","")</f>
        <v>Đã bảo trì</v>
      </c>
      <c r="E68" s="14" t="str">
        <f>if(countifs(DATABASE!I:I,"Bảo trì",DATABASE!E:E,B68,DATABASE!A:A,"&gt;01/06/2021",DATABASE!A:A,"&lt;01/09/2021")&gt;=1,"Đã bảo trì","")</f>
        <v/>
      </c>
      <c r="F68" s="14">
        <f>countifs(DATABASE!E:E,B68)</f>
        <v>1</v>
      </c>
    </row>
    <row r="69">
      <c r="A69" s="19">
        <v>66.0</v>
      </c>
      <c r="B69" s="41" t="s">
        <v>782</v>
      </c>
      <c r="C69" s="40" t="s">
        <v>783</v>
      </c>
      <c r="D69" s="14" t="str">
        <f>if(countifs(DATABASE!I:I,"Bảo trì",DATABASE!E:E,B69,DATABASE!A:A,"&gt;01/03/2021",DATABASE!A:A,"&lt;01/06/2021")&gt;=1,"Đã bảo trì","")</f>
        <v>Đã bảo trì</v>
      </c>
      <c r="E69" s="14" t="str">
        <f>if(countifs(DATABASE!I:I,"Bảo trì",DATABASE!E:E,B69,DATABASE!A:A,"&gt;01/06/2021",DATABASE!A:A,"&lt;01/09/2021")&gt;=1,"Đã bảo trì","")</f>
        <v/>
      </c>
      <c r="F69" s="14">
        <f>countifs(DATABASE!E:E,B69)</f>
        <v>2</v>
      </c>
    </row>
    <row r="70">
      <c r="A70" s="15">
        <v>67.0</v>
      </c>
      <c r="B70" s="41" t="s">
        <v>784</v>
      </c>
      <c r="C70" s="40" t="s">
        <v>785</v>
      </c>
      <c r="D70" s="14" t="str">
        <f>if(countifs(DATABASE!I:I,"Bảo trì",DATABASE!E:E,B70,DATABASE!A:A,"&gt;01/03/2021",DATABASE!A:A,"&lt;01/06/2021")&gt;=1,"Đã bảo trì","")</f>
        <v>Đã bảo trì</v>
      </c>
      <c r="E70" s="14" t="str">
        <f>if(countifs(DATABASE!I:I,"Bảo trì",DATABASE!E:E,B70,DATABASE!A:A,"&gt;01/06/2021",DATABASE!A:A,"&lt;01/09/2021")&gt;=1,"Đã bảo trì","")</f>
        <v/>
      </c>
      <c r="F70" s="14">
        <f>countifs(DATABASE!E:E,B70)</f>
        <v>1</v>
      </c>
    </row>
    <row r="71">
      <c r="A71" s="19">
        <v>68.0</v>
      </c>
      <c r="B71" s="41" t="s">
        <v>786</v>
      </c>
      <c r="C71" s="40" t="s">
        <v>787</v>
      </c>
      <c r="D71" s="14" t="str">
        <f>if(countifs(DATABASE!I:I,"Bảo trì",DATABASE!E:E,B71,DATABASE!A:A,"&gt;01/03/2021",DATABASE!A:A,"&lt;01/06/2021")&gt;=1,"Đã bảo trì","")</f>
        <v>Đã bảo trì</v>
      </c>
      <c r="E71" s="14" t="str">
        <f>if(countifs(DATABASE!I:I,"Bảo trì",DATABASE!E:E,B71,DATABASE!A:A,"&gt;01/06/2021",DATABASE!A:A,"&lt;01/09/2021")&gt;=1,"Đã bảo trì","")</f>
        <v/>
      </c>
      <c r="F71" s="14">
        <f>countifs(DATABASE!E:E,B71)</f>
        <v>1</v>
      </c>
    </row>
    <row r="72">
      <c r="A72" s="19">
        <v>69.0</v>
      </c>
      <c r="B72" s="41" t="s">
        <v>788</v>
      </c>
      <c r="C72" s="40" t="s">
        <v>789</v>
      </c>
      <c r="D72" s="14" t="str">
        <f>if(countifs(DATABASE!I:I,"Bảo trì",DATABASE!E:E,B72,DATABASE!A:A,"&gt;01/03/2021",DATABASE!A:A,"&lt;01/06/2021")&gt;=1,"Đã bảo trì","")</f>
        <v>Đã bảo trì</v>
      </c>
      <c r="E72" s="14" t="str">
        <f>if(countifs(DATABASE!I:I,"Bảo trì",DATABASE!E:E,B72,DATABASE!A:A,"&gt;01/06/2021",DATABASE!A:A,"&lt;01/09/2021")&gt;=1,"Đã bảo trì","")</f>
        <v/>
      </c>
      <c r="F72" s="14">
        <f>countifs(DATABASE!E:E,B72)</f>
        <v>2</v>
      </c>
    </row>
    <row r="73">
      <c r="A73" s="15">
        <v>70.0</v>
      </c>
      <c r="B73" s="41" t="s">
        <v>790</v>
      </c>
      <c r="C73" s="40" t="s">
        <v>791</v>
      </c>
      <c r="D73" s="14" t="str">
        <f>if(countifs(DATABASE!I:I,"Bảo trì",DATABASE!E:E,B73,DATABASE!A:A,"&gt;01/03/2021",DATABASE!A:A,"&lt;01/06/2021")&gt;=1,"Đã bảo trì","")</f>
        <v>Đã bảo trì</v>
      </c>
      <c r="E73" s="14" t="str">
        <f>if(countifs(DATABASE!I:I,"Bảo trì",DATABASE!E:E,B73,DATABASE!A:A,"&gt;01/06/2021",DATABASE!A:A,"&lt;01/09/2021")&gt;=1,"Đã bảo trì","")</f>
        <v/>
      </c>
      <c r="F73" s="14">
        <f>countifs(DATABASE!E:E,B73)</f>
        <v>1</v>
      </c>
    </row>
    <row r="74">
      <c r="A74" s="19">
        <v>71.0</v>
      </c>
      <c r="B74" s="41" t="s">
        <v>792</v>
      </c>
      <c r="C74" s="40" t="s">
        <v>793</v>
      </c>
      <c r="D74" s="14" t="str">
        <f>if(countifs(DATABASE!I:I,"Bảo trì",DATABASE!E:E,B74,DATABASE!A:A,"&gt;01/03/2021",DATABASE!A:A,"&lt;01/06/2021")&gt;=1,"Đã bảo trì","")</f>
        <v>Đã bảo trì</v>
      </c>
      <c r="E74" s="14" t="str">
        <f>if(countifs(DATABASE!I:I,"Bảo trì",DATABASE!E:E,B74,DATABASE!A:A,"&gt;01/06/2021",DATABASE!A:A,"&lt;01/09/2021")&gt;=1,"Đã bảo trì","")</f>
        <v>Đã bảo trì</v>
      </c>
      <c r="F74" s="14">
        <f>countifs(DATABASE!E:E,B74)</f>
        <v>4</v>
      </c>
    </row>
    <row r="75">
      <c r="A75" s="19">
        <v>72.0</v>
      </c>
      <c r="B75" s="41" t="s">
        <v>794</v>
      </c>
      <c r="C75" s="40" t="s">
        <v>795</v>
      </c>
      <c r="D75" s="14" t="str">
        <f>if(countifs(DATABASE!I:I,"Bảo trì",DATABASE!E:E,B75,DATABASE!A:A,"&gt;01/03/2021",DATABASE!A:A,"&lt;01/06/2021")&gt;=1,"Đã bảo trì","")</f>
        <v>Đã bảo trì</v>
      </c>
      <c r="E75" s="14" t="str">
        <f>if(countifs(DATABASE!I:I,"Bảo trì",DATABASE!E:E,B75,DATABASE!A:A,"&gt;01/06/2021",DATABASE!A:A,"&lt;01/09/2021")&gt;=1,"Đã bảo trì","")</f>
        <v/>
      </c>
      <c r="F75" s="14">
        <f>countifs(DATABASE!E:E,B75)</f>
        <v>1</v>
      </c>
    </row>
    <row r="76">
      <c r="A76" s="15">
        <v>73.0</v>
      </c>
      <c r="B76" s="41" t="s">
        <v>796</v>
      </c>
      <c r="C76" s="40" t="s">
        <v>797</v>
      </c>
      <c r="D76" s="14" t="str">
        <f>if(countifs(DATABASE!I:I,"Bảo trì",DATABASE!E:E,B76,DATABASE!A:A,"&gt;01/03/2021",DATABASE!A:A,"&lt;01/06/2021")&gt;=1,"Đã bảo trì","")</f>
        <v>Đã bảo trì</v>
      </c>
      <c r="E76" s="14" t="str">
        <f>if(countifs(DATABASE!I:I,"Bảo trì",DATABASE!E:E,B76,DATABASE!A:A,"&gt;01/06/2021",DATABASE!A:A,"&lt;01/09/2021")&gt;=1,"Đã bảo trì","")</f>
        <v/>
      </c>
      <c r="F76" s="14">
        <f>countifs(DATABASE!E:E,B76)</f>
        <v>2</v>
      </c>
    </row>
    <row r="77">
      <c r="A77" s="19">
        <v>74.0</v>
      </c>
      <c r="B77" s="41" t="s">
        <v>798</v>
      </c>
      <c r="C77" s="40" t="s">
        <v>797</v>
      </c>
      <c r="D77" s="14" t="str">
        <f>if(countifs(DATABASE!I:I,"Bảo trì",DATABASE!E:E,B77,DATABASE!A:A,"&gt;01/03/2021",DATABASE!A:A,"&lt;01/06/2021")&gt;=1,"Đã bảo trì","")</f>
        <v/>
      </c>
      <c r="E77" s="14" t="str">
        <f>if(countifs(DATABASE!I:I,"Bảo trì",DATABASE!E:E,B77,DATABASE!A:A,"&gt;01/06/2021",DATABASE!A:A,"&lt;01/09/2021")&gt;=1,"Đã bảo trì","")</f>
        <v/>
      </c>
      <c r="F77" s="14">
        <f>countifs(DATABASE!E:E,B77)</f>
        <v>0</v>
      </c>
    </row>
    <row r="78">
      <c r="A78" s="19">
        <v>75.0</v>
      </c>
      <c r="B78" s="41" t="s">
        <v>799</v>
      </c>
      <c r="C78" s="40" t="s">
        <v>800</v>
      </c>
      <c r="D78" s="14" t="str">
        <f>if(countifs(DATABASE!I:I,"Bảo trì",DATABASE!E:E,B78,DATABASE!A:A,"&gt;01/03/2021",DATABASE!A:A,"&lt;01/06/2021")&gt;=1,"Đã bảo trì","")</f>
        <v>Đã bảo trì</v>
      </c>
      <c r="E78" s="14" t="str">
        <f>if(countifs(DATABASE!I:I,"Bảo trì",DATABASE!E:E,B78,DATABASE!A:A,"&gt;01/06/2021",DATABASE!A:A,"&lt;01/09/2021")&gt;=1,"Đã bảo trì","")</f>
        <v/>
      </c>
      <c r="F78" s="14">
        <f>countifs(DATABASE!E:E,B78)</f>
        <v>1</v>
      </c>
    </row>
    <row r="79">
      <c r="A79" s="15">
        <v>76.0</v>
      </c>
      <c r="B79" s="41" t="s">
        <v>801</v>
      </c>
      <c r="C79" s="40" t="s">
        <v>802</v>
      </c>
      <c r="D79" s="14" t="str">
        <f>if(countifs(DATABASE!I:I,"Bảo trì",DATABASE!E:E,B79,DATABASE!A:A,"&gt;01/03/2021",DATABASE!A:A,"&lt;01/06/2021")&gt;=1,"Đã bảo trì","")</f>
        <v>Đã bảo trì</v>
      </c>
      <c r="E79" s="14" t="str">
        <f>if(countifs(DATABASE!I:I,"Bảo trì",DATABASE!E:E,B79,DATABASE!A:A,"&gt;01/06/2021",DATABASE!A:A,"&lt;01/09/2021")&gt;=1,"Đã bảo trì","")</f>
        <v/>
      </c>
      <c r="F79" s="14">
        <f>countifs(DATABASE!E:E,B79)</f>
        <v>1</v>
      </c>
    </row>
    <row r="80">
      <c r="A80" s="19">
        <v>77.0</v>
      </c>
      <c r="B80" s="41" t="s">
        <v>803</v>
      </c>
      <c r="C80" s="40" t="s">
        <v>802</v>
      </c>
      <c r="D80" s="14" t="str">
        <f>if(countifs(DATABASE!I:I,"Bảo trì",DATABASE!E:E,B80,DATABASE!A:A,"&gt;01/03/2021",DATABASE!A:A,"&lt;01/06/2021")&gt;=1,"Đã bảo trì","")</f>
        <v>Đã bảo trì</v>
      </c>
      <c r="E80" s="14" t="str">
        <f>if(countifs(DATABASE!I:I,"Bảo trì",DATABASE!E:E,B80,DATABASE!A:A,"&gt;01/06/2021",DATABASE!A:A,"&lt;01/09/2021")&gt;=1,"Đã bảo trì","")</f>
        <v/>
      </c>
      <c r="F80" s="14">
        <f>countifs(DATABASE!E:E,B80)</f>
        <v>1</v>
      </c>
    </row>
    <row r="81">
      <c r="A81" s="19">
        <v>78.0</v>
      </c>
      <c r="B81" s="41" t="s">
        <v>804</v>
      </c>
      <c r="C81" s="40" t="s">
        <v>805</v>
      </c>
      <c r="D81" s="14" t="str">
        <f>if(countifs(DATABASE!I:I,"Bảo trì",DATABASE!E:E,B81,DATABASE!A:A,"&gt;01/03/2021",DATABASE!A:A,"&lt;01/06/2021")&gt;=1,"Đã bảo trì","")</f>
        <v/>
      </c>
      <c r="E81" s="14" t="str">
        <f>if(countifs(DATABASE!I:I,"Bảo trì",DATABASE!E:E,B81,DATABASE!A:A,"&gt;01/06/2021",DATABASE!A:A,"&lt;01/09/2021")&gt;=1,"Đã bảo trì","")</f>
        <v/>
      </c>
      <c r="F81" s="14">
        <f>countifs(DATABASE!E:E,B81)</f>
        <v>2</v>
      </c>
    </row>
    <row r="82">
      <c r="A82" s="15">
        <v>79.0</v>
      </c>
      <c r="B82" s="41" t="s">
        <v>806</v>
      </c>
      <c r="C82" s="40" t="s">
        <v>807</v>
      </c>
      <c r="D82" s="14" t="str">
        <f>if(countifs(DATABASE!I:I,"Bảo trì",DATABASE!E:E,B82,DATABASE!A:A,"&gt;01/03/2021",DATABASE!A:A,"&lt;01/06/2021")&gt;=1,"Đã bảo trì","")</f>
        <v/>
      </c>
      <c r="E82" s="14" t="str">
        <f>if(countifs(DATABASE!I:I,"Bảo trì",DATABASE!E:E,B82,DATABASE!A:A,"&gt;01/06/2021",DATABASE!A:A,"&lt;01/09/2021")&gt;=1,"Đã bảo trì","")</f>
        <v/>
      </c>
      <c r="F82" s="14">
        <f>countifs(DATABASE!E:E,B82)</f>
        <v>0</v>
      </c>
    </row>
    <row r="83">
      <c r="A83" s="19">
        <v>80.0</v>
      </c>
      <c r="B83" s="41" t="s">
        <v>808</v>
      </c>
      <c r="C83" s="40" t="s">
        <v>809</v>
      </c>
      <c r="D83" s="14" t="str">
        <f>if(countifs(DATABASE!I:I,"Bảo trì",DATABASE!E:E,B83,DATABASE!A:A,"&gt;01/03/2021",DATABASE!A:A,"&lt;01/06/2021")&gt;=1,"Đã bảo trì","")</f>
        <v/>
      </c>
      <c r="E83" s="14" t="str">
        <f>if(countifs(DATABASE!I:I,"Bảo trì",DATABASE!E:E,B83,DATABASE!A:A,"&gt;01/06/2021",DATABASE!A:A,"&lt;01/09/2021")&gt;=1,"Đã bảo trì","")</f>
        <v/>
      </c>
      <c r="F83" s="14">
        <f>countifs(DATABASE!E:E,B83)</f>
        <v>0</v>
      </c>
    </row>
    <row r="84">
      <c r="A84" s="19">
        <v>81.0</v>
      </c>
      <c r="B84" s="41" t="s">
        <v>810</v>
      </c>
      <c r="C84" s="40" t="s">
        <v>811</v>
      </c>
      <c r="D84" s="14" t="str">
        <f>if(countifs(DATABASE!I:I,"Bảo trì",DATABASE!E:E,B84,DATABASE!A:A,"&gt;01/03/2021",DATABASE!A:A,"&lt;01/06/2021")&gt;=1,"Đã bảo trì","")</f>
        <v/>
      </c>
      <c r="E84" s="14" t="str">
        <f>if(countifs(DATABASE!I:I,"Bảo trì",DATABASE!E:E,B84,DATABASE!A:A,"&gt;01/06/2021",DATABASE!A:A,"&lt;01/09/2021")&gt;=1,"Đã bảo trì","")</f>
        <v/>
      </c>
      <c r="F84" s="14">
        <f>countifs(DATABASE!E:E,B84)</f>
        <v>0</v>
      </c>
    </row>
    <row r="85">
      <c r="A85" s="15">
        <v>82.0</v>
      </c>
      <c r="B85" s="41" t="s">
        <v>812</v>
      </c>
      <c r="C85" s="40" t="s">
        <v>813</v>
      </c>
      <c r="D85" s="14" t="str">
        <f>if(countifs(DATABASE!I:I,"Bảo trì",DATABASE!E:E,B85,DATABASE!A:A,"&gt;01/03/2021",DATABASE!A:A,"&lt;01/06/2021")&gt;=1,"Đã bảo trì","")</f>
        <v/>
      </c>
      <c r="E85" s="14" t="str">
        <f>if(countifs(DATABASE!I:I,"Bảo trì",DATABASE!E:E,B85,DATABASE!A:A,"&gt;01/06/2021",DATABASE!A:A,"&lt;01/09/2021")&gt;=1,"Đã bảo trì","")</f>
        <v/>
      </c>
      <c r="F85" s="14">
        <f>countifs(DATABASE!E:E,B85)</f>
        <v>0</v>
      </c>
    </row>
    <row r="86">
      <c r="A86" s="19">
        <v>83.0</v>
      </c>
      <c r="B86" s="41" t="s">
        <v>814</v>
      </c>
      <c r="C86" s="40" t="s">
        <v>815</v>
      </c>
      <c r="D86" s="14" t="str">
        <f>if(countifs(DATABASE!I:I,"Bảo trì",DATABASE!E:E,B86,DATABASE!A:A,"&gt;01/03/2021",DATABASE!A:A,"&lt;01/06/2021")&gt;=1,"Đã bảo trì","")</f>
        <v/>
      </c>
      <c r="E86" s="14" t="str">
        <f>if(countifs(DATABASE!I:I,"Bảo trì",DATABASE!E:E,B86,DATABASE!A:A,"&gt;01/06/2021",DATABASE!A:A,"&lt;01/09/2021")&gt;=1,"Đã bảo trì","")</f>
        <v/>
      </c>
      <c r="F86" s="14">
        <f>countifs(DATABASE!E:E,B86)</f>
        <v>1</v>
      </c>
    </row>
    <row r="87">
      <c r="A87" s="19">
        <v>84.0</v>
      </c>
      <c r="B87" s="41" t="s">
        <v>816</v>
      </c>
      <c r="C87" s="40" t="s">
        <v>817</v>
      </c>
      <c r="D87" s="14" t="str">
        <f>if(countifs(DATABASE!I:I,"Bảo trì",DATABASE!E:E,B87,DATABASE!A:A,"&gt;01/03/2021",DATABASE!A:A,"&lt;01/06/2021")&gt;=1,"Đã bảo trì","")</f>
        <v/>
      </c>
      <c r="E87" s="14" t="str">
        <f>if(countifs(DATABASE!I:I,"Bảo trì",DATABASE!E:E,B87,DATABASE!A:A,"&gt;01/06/2021",DATABASE!A:A,"&lt;01/09/2021")&gt;=1,"Đã bảo trì","")</f>
        <v/>
      </c>
      <c r="F87" s="14">
        <f>countifs(DATABASE!E:E,B87)</f>
        <v>0</v>
      </c>
    </row>
    <row r="88">
      <c r="A88" s="15">
        <v>85.0</v>
      </c>
      <c r="B88" s="41" t="s">
        <v>818</v>
      </c>
      <c r="C88" s="40" t="s">
        <v>819</v>
      </c>
      <c r="D88" s="14" t="str">
        <f>if(countifs(DATABASE!I:I,"Bảo trì",DATABASE!E:E,B88,DATABASE!A:A,"&gt;01/03/2021",DATABASE!A:A,"&lt;01/06/2021")&gt;=1,"Đã bảo trì","")</f>
        <v>Đã bảo trì</v>
      </c>
      <c r="E88" s="14" t="str">
        <f>if(countifs(DATABASE!I:I,"Bảo trì",DATABASE!E:E,B88,DATABASE!A:A,"&gt;01/06/2021",DATABASE!A:A,"&lt;01/09/2021")&gt;=1,"Đã bảo trì","")</f>
        <v/>
      </c>
      <c r="F88" s="14">
        <f>countifs(DATABASE!E:E,B88)</f>
        <v>1</v>
      </c>
    </row>
    <row r="89">
      <c r="A89" s="19">
        <v>86.0</v>
      </c>
      <c r="B89" s="41" t="s">
        <v>820</v>
      </c>
      <c r="C89" s="40" t="s">
        <v>821</v>
      </c>
      <c r="D89" s="14" t="str">
        <f>if(countifs(DATABASE!I:I,"Bảo trì",DATABASE!E:E,B89,DATABASE!A:A,"&gt;01/03/2021",DATABASE!A:A,"&lt;01/06/2021")&gt;=1,"Đã bảo trì","")</f>
        <v/>
      </c>
      <c r="E89" s="14" t="str">
        <f>if(countifs(DATABASE!I:I,"Bảo trì",DATABASE!E:E,B89,DATABASE!A:A,"&gt;01/06/2021",DATABASE!A:A,"&lt;01/09/2021")&gt;=1,"Đã bảo trì","")</f>
        <v/>
      </c>
      <c r="F89" s="14">
        <f>countifs(DATABASE!E:E,B89)</f>
        <v>0</v>
      </c>
    </row>
    <row r="90">
      <c r="A90" s="19">
        <v>87.0</v>
      </c>
      <c r="B90" s="41" t="s">
        <v>822</v>
      </c>
      <c r="C90" s="40" t="s">
        <v>823</v>
      </c>
      <c r="D90" s="14" t="str">
        <f>if(countifs(DATABASE!I:I,"Bảo trì",DATABASE!E:E,B90,DATABASE!A:A,"&gt;01/03/2021",DATABASE!A:A,"&lt;01/06/2021")&gt;=1,"Đã bảo trì","")</f>
        <v/>
      </c>
      <c r="E90" s="14" t="str">
        <f>if(countifs(DATABASE!I:I,"Bảo trì",DATABASE!E:E,B90,DATABASE!A:A,"&gt;01/06/2021",DATABASE!A:A,"&lt;01/09/2021")&gt;=1,"Đã bảo trì","")</f>
        <v/>
      </c>
      <c r="F90" s="14">
        <f>countifs(DATABASE!E:E,B90)</f>
        <v>0</v>
      </c>
    </row>
    <row r="91">
      <c r="A91" s="15">
        <v>88.0</v>
      </c>
      <c r="B91" s="41" t="s">
        <v>824</v>
      </c>
      <c r="C91" s="40" t="s">
        <v>825</v>
      </c>
      <c r="D91" s="14" t="str">
        <f>if(countifs(DATABASE!I:I,"Bảo trì",DATABASE!E:E,B91,DATABASE!A:A,"&gt;01/03/2021",DATABASE!A:A,"&lt;01/06/2021")&gt;=1,"Đã bảo trì","")</f>
        <v>Đã bảo trì</v>
      </c>
      <c r="E91" s="14" t="str">
        <f>if(countifs(DATABASE!I:I,"Bảo trì",DATABASE!E:E,B91,DATABASE!A:A,"&gt;01/06/2021",DATABASE!A:A,"&lt;01/09/2021")&gt;=1,"Đã bảo trì","")</f>
        <v/>
      </c>
      <c r="F91" s="14">
        <f>countifs(DATABASE!E:E,B91)</f>
        <v>1</v>
      </c>
    </row>
    <row r="92">
      <c r="A92" s="19">
        <v>89.0</v>
      </c>
      <c r="B92" s="41" t="s">
        <v>826</v>
      </c>
      <c r="C92" s="40" t="s">
        <v>827</v>
      </c>
      <c r="D92" s="14" t="str">
        <f>if(countifs(DATABASE!I:I,"Bảo trì",DATABASE!E:E,B92,DATABASE!A:A,"&gt;01/03/2021",DATABASE!A:A,"&lt;01/06/2021")&gt;=1,"Đã bảo trì","")</f>
        <v/>
      </c>
      <c r="E92" s="14" t="str">
        <f>if(countifs(DATABASE!I:I,"Bảo trì",DATABASE!E:E,B92,DATABASE!A:A,"&gt;01/06/2021",DATABASE!A:A,"&lt;01/09/2021")&gt;=1,"Đã bảo trì","")</f>
        <v/>
      </c>
      <c r="F92" s="14">
        <f>countifs(DATABASE!E:E,B92)</f>
        <v>0</v>
      </c>
    </row>
    <row r="93">
      <c r="A93" s="19">
        <v>90.0</v>
      </c>
      <c r="B93" s="41" t="s">
        <v>828</v>
      </c>
      <c r="C93" s="40" t="s">
        <v>829</v>
      </c>
      <c r="D93" s="14" t="str">
        <f>if(countifs(DATABASE!I:I,"Bảo trì",DATABASE!E:E,B93,DATABASE!A:A,"&gt;01/03/2021",DATABASE!A:A,"&lt;01/06/2021")&gt;=1,"Đã bảo trì","")</f>
        <v/>
      </c>
      <c r="E93" s="14" t="str">
        <f>if(countifs(DATABASE!I:I,"Bảo trì",DATABASE!E:E,B93,DATABASE!A:A,"&gt;01/06/2021",DATABASE!A:A,"&lt;01/09/2021")&gt;=1,"Đã bảo trì","")</f>
        <v/>
      </c>
      <c r="F93" s="14">
        <f>countifs(DATABASE!E:E,B93)</f>
        <v>0</v>
      </c>
    </row>
    <row r="94">
      <c r="A94" s="15">
        <v>91.0</v>
      </c>
      <c r="B94" s="41" t="s">
        <v>830</v>
      </c>
      <c r="C94" s="40" t="s">
        <v>831</v>
      </c>
      <c r="D94" s="14" t="str">
        <f>if(countifs(DATABASE!I:I,"Bảo trì",DATABASE!E:E,B94,DATABASE!A:A,"&gt;01/03/2021",DATABASE!A:A,"&lt;01/06/2021")&gt;=1,"Đã bảo trì","")</f>
        <v/>
      </c>
      <c r="E94" s="14" t="str">
        <f>if(countifs(DATABASE!I:I,"Bảo trì",DATABASE!E:E,B94,DATABASE!A:A,"&gt;01/06/2021",DATABASE!A:A,"&lt;01/09/2021")&gt;=1,"Đã bảo trì","")</f>
        <v/>
      </c>
      <c r="F94" s="14">
        <f>countifs(DATABASE!E:E,B94)</f>
        <v>0</v>
      </c>
    </row>
    <row r="95">
      <c r="A95" s="19">
        <v>92.0</v>
      </c>
      <c r="B95" s="41" t="s">
        <v>832</v>
      </c>
      <c r="C95" s="40" t="s">
        <v>833</v>
      </c>
      <c r="D95" s="14" t="str">
        <f>if(countifs(DATABASE!I:I,"Bảo trì",DATABASE!E:E,B95,DATABASE!A:A,"&gt;01/03/2021",DATABASE!A:A,"&lt;01/06/2021")&gt;=1,"Đã bảo trì","")</f>
        <v/>
      </c>
      <c r="E95" s="14" t="str">
        <f>if(countifs(DATABASE!I:I,"Bảo trì",DATABASE!E:E,B95,DATABASE!A:A,"&gt;01/06/2021",DATABASE!A:A,"&lt;01/09/2021")&gt;=1,"Đã bảo trì","")</f>
        <v>Đã bảo trì</v>
      </c>
      <c r="F95" s="14">
        <f>countifs(DATABASE!E:E,B95)</f>
        <v>1</v>
      </c>
    </row>
    <row r="96">
      <c r="A96" s="19">
        <v>93.0</v>
      </c>
      <c r="B96" s="41" t="s">
        <v>834</v>
      </c>
      <c r="C96" s="40" t="s">
        <v>835</v>
      </c>
      <c r="D96" s="14" t="str">
        <f>if(countifs(DATABASE!I:I,"Bảo trì",DATABASE!E:E,B96,DATABASE!A:A,"&gt;01/03/2021",DATABASE!A:A,"&lt;01/06/2021")&gt;=1,"Đã bảo trì","")</f>
        <v/>
      </c>
      <c r="E96" s="14" t="str">
        <f>if(countifs(DATABASE!I:I,"Bảo trì",DATABASE!E:E,B96,DATABASE!A:A,"&gt;01/06/2021",DATABASE!A:A,"&lt;01/09/2021")&gt;=1,"Đã bảo trì","")</f>
        <v/>
      </c>
      <c r="F96" s="14">
        <f>countifs(DATABASE!E:E,B96)</f>
        <v>1</v>
      </c>
    </row>
    <row r="97">
      <c r="A97" s="15">
        <v>94.0</v>
      </c>
      <c r="B97" s="41" t="s">
        <v>836</v>
      </c>
      <c r="C97" s="40" t="s">
        <v>837</v>
      </c>
      <c r="D97" s="14" t="str">
        <f>if(countifs(DATABASE!I:I,"Bảo trì",DATABASE!E:E,B97,DATABASE!A:A,"&gt;01/03/2021",DATABASE!A:A,"&lt;01/06/2021")&gt;=1,"Đã bảo trì","")</f>
        <v>Đã bảo trì</v>
      </c>
      <c r="E97" s="14" t="str">
        <f>if(countifs(DATABASE!I:I,"Bảo trì",DATABASE!E:E,B97,DATABASE!A:A,"&gt;01/06/2021",DATABASE!A:A,"&lt;01/09/2021")&gt;=1,"Đã bảo trì","")</f>
        <v/>
      </c>
      <c r="F97" s="14">
        <f>countifs(DATABASE!E:E,B97)</f>
        <v>1</v>
      </c>
    </row>
    <row r="98">
      <c r="A98" s="19">
        <v>95.0</v>
      </c>
      <c r="B98" s="41" t="s">
        <v>838</v>
      </c>
      <c r="C98" s="40" t="s">
        <v>839</v>
      </c>
      <c r="D98" s="14" t="str">
        <f>if(countifs(DATABASE!I:I,"Bảo trì",DATABASE!E:E,B98,DATABASE!A:A,"&gt;01/03/2021",DATABASE!A:A,"&lt;01/06/2021")&gt;=1,"Đã bảo trì","")</f>
        <v>Đã bảo trì</v>
      </c>
      <c r="E98" s="14" t="str">
        <f>if(countifs(DATABASE!I:I,"Bảo trì",DATABASE!E:E,B98,DATABASE!A:A,"&gt;01/06/2021",DATABASE!A:A,"&lt;01/09/2021")&gt;=1,"Đã bảo trì","")</f>
        <v/>
      </c>
      <c r="F98" s="14">
        <f>countifs(DATABASE!E:E,B98)</f>
        <v>1</v>
      </c>
    </row>
    <row r="99">
      <c r="A99" s="19">
        <v>96.0</v>
      </c>
      <c r="B99" s="41" t="s">
        <v>840</v>
      </c>
      <c r="C99" s="40" t="s">
        <v>841</v>
      </c>
      <c r="D99" s="14" t="str">
        <f>if(countifs(DATABASE!I:I,"Bảo trì",DATABASE!E:E,B99,DATABASE!A:A,"&gt;01/03/2021",DATABASE!A:A,"&lt;01/06/2021")&gt;=1,"Đã bảo trì","")</f>
        <v/>
      </c>
      <c r="E99" s="14" t="str">
        <f>if(countifs(DATABASE!I:I,"Bảo trì",DATABASE!E:E,B99,DATABASE!A:A,"&gt;01/06/2021",DATABASE!A:A,"&lt;01/09/2021")&gt;=1,"Đã bảo trì","")</f>
        <v/>
      </c>
      <c r="F99" s="14">
        <f>countifs(DATABASE!E:E,B99)</f>
        <v>0</v>
      </c>
    </row>
    <row r="100">
      <c r="A100" s="15">
        <v>97.0</v>
      </c>
      <c r="B100" s="41" t="s">
        <v>842</v>
      </c>
      <c r="C100" s="40" t="s">
        <v>843</v>
      </c>
      <c r="D100" s="14" t="str">
        <f>if(countifs(DATABASE!I:I,"Bảo trì",DATABASE!E:E,B100,DATABASE!A:A,"&gt;01/03/2021",DATABASE!A:A,"&lt;01/06/2021")&gt;=1,"Đã bảo trì","")</f>
        <v/>
      </c>
      <c r="E100" s="14" t="str">
        <f>if(countifs(DATABASE!I:I,"Bảo trì",DATABASE!E:E,B100,DATABASE!A:A,"&gt;01/06/2021",DATABASE!A:A,"&lt;01/09/2021")&gt;=1,"Đã bảo trì","")</f>
        <v/>
      </c>
      <c r="F100" s="14">
        <f>countifs(DATABASE!E:E,B100)</f>
        <v>1</v>
      </c>
    </row>
    <row r="101">
      <c r="A101" s="19">
        <v>98.0</v>
      </c>
      <c r="B101" s="41" t="s">
        <v>844</v>
      </c>
      <c r="C101" s="40" t="s">
        <v>845</v>
      </c>
      <c r="D101" s="14" t="str">
        <f>if(countifs(DATABASE!I:I,"Bảo trì",DATABASE!E:E,B101,DATABASE!A:A,"&gt;01/03/2021",DATABASE!A:A,"&lt;01/06/2021")&gt;=1,"Đã bảo trì","")</f>
        <v>Đã bảo trì</v>
      </c>
      <c r="E101" s="14" t="str">
        <f>if(countifs(DATABASE!I:I,"Bảo trì",DATABASE!E:E,B101,DATABASE!A:A,"&gt;01/06/2021",DATABASE!A:A,"&lt;01/09/2021")&gt;=1,"Đã bảo trì","")</f>
        <v/>
      </c>
      <c r="F101" s="14">
        <f>countifs(DATABASE!E:E,B101)</f>
        <v>1</v>
      </c>
    </row>
    <row r="102">
      <c r="A102" s="19">
        <v>99.0</v>
      </c>
      <c r="B102" s="41" t="s">
        <v>846</v>
      </c>
      <c r="C102" s="40" t="s">
        <v>847</v>
      </c>
      <c r="D102" s="14" t="str">
        <f>if(countifs(DATABASE!I:I,"Bảo trì",DATABASE!E:E,B102,DATABASE!A:A,"&gt;01/03/2021",DATABASE!A:A,"&lt;01/06/2021")&gt;=1,"Đã bảo trì","")</f>
        <v>Đã bảo trì</v>
      </c>
      <c r="E102" s="14" t="str">
        <f>if(countifs(DATABASE!I:I,"Bảo trì",DATABASE!E:E,B102,DATABASE!A:A,"&gt;01/06/2021",DATABASE!A:A,"&lt;01/09/2021")&gt;=1,"Đã bảo trì","")</f>
        <v/>
      </c>
      <c r="F102" s="14">
        <f>countifs(DATABASE!E:E,B102)</f>
        <v>1</v>
      </c>
    </row>
    <row r="103">
      <c r="A103" s="15">
        <v>100.0</v>
      </c>
      <c r="B103" s="41" t="s">
        <v>848</v>
      </c>
      <c r="C103" s="40" t="s">
        <v>849</v>
      </c>
      <c r="D103" s="14" t="str">
        <f>if(countifs(DATABASE!I:I,"Bảo trì",DATABASE!E:E,B103,DATABASE!A:A,"&gt;01/03/2021",DATABASE!A:A,"&lt;01/06/2021")&gt;=1,"Đã bảo trì","")</f>
        <v>Đã bảo trì</v>
      </c>
      <c r="E103" s="14" t="str">
        <f>if(countifs(DATABASE!I:I,"Bảo trì",DATABASE!E:E,B103,DATABASE!A:A,"&gt;01/06/2021",DATABASE!A:A,"&lt;01/09/2021")&gt;=1,"Đã bảo trì","")</f>
        <v/>
      </c>
      <c r="F103" s="14">
        <f>countifs(DATABASE!E:E,B103)</f>
        <v>1</v>
      </c>
    </row>
    <row r="104">
      <c r="A104" s="19">
        <v>101.0</v>
      </c>
      <c r="B104" s="41" t="s">
        <v>850</v>
      </c>
      <c r="C104" s="40" t="s">
        <v>851</v>
      </c>
      <c r="D104" s="14" t="str">
        <f>if(countifs(DATABASE!I:I,"Bảo trì",DATABASE!E:E,B104,DATABASE!A:A,"&gt;01/03/2021",DATABASE!A:A,"&lt;01/06/2021")&gt;=1,"Đã bảo trì","")</f>
        <v>Đã bảo trì</v>
      </c>
      <c r="E104" s="14" t="str">
        <f>if(countifs(DATABASE!I:I,"Bảo trì",DATABASE!E:E,B104,DATABASE!A:A,"&gt;01/06/2021",DATABASE!A:A,"&lt;01/09/2021")&gt;=1,"Đã bảo trì","")</f>
        <v/>
      </c>
      <c r="F104" s="14">
        <f>countifs(DATABASE!E:E,B104)</f>
        <v>1</v>
      </c>
    </row>
    <row r="105">
      <c r="A105" s="19">
        <v>102.0</v>
      </c>
      <c r="B105" s="41" t="s">
        <v>852</v>
      </c>
      <c r="C105" s="40" t="s">
        <v>853</v>
      </c>
      <c r="D105" s="14" t="str">
        <f>if(countifs(DATABASE!I:I,"Bảo trì",DATABASE!E:E,B105,DATABASE!A:A,"&gt;01/03/2021",DATABASE!A:A,"&lt;01/06/2021")&gt;=1,"Đã bảo trì","")</f>
        <v/>
      </c>
      <c r="E105" s="14" t="str">
        <f>if(countifs(DATABASE!I:I,"Bảo trì",DATABASE!E:E,B105,DATABASE!A:A,"&gt;01/06/2021",DATABASE!A:A,"&lt;01/09/2021")&gt;=1,"Đã bảo trì","")</f>
        <v/>
      </c>
      <c r="F105" s="14">
        <f>countifs(DATABASE!E:E,B105)</f>
        <v>1</v>
      </c>
    </row>
    <row r="106">
      <c r="A106" s="15">
        <v>103.0</v>
      </c>
      <c r="B106" s="41" t="s">
        <v>854</v>
      </c>
      <c r="C106" s="40" t="s">
        <v>855</v>
      </c>
      <c r="D106" s="14" t="str">
        <f>if(countifs(DATABASE!I:I,"Bảo trì",DATABASE!E:E,B106,DATABASE!A:A,"&gt;01/03/2021",DATABASE!A:A,"&lt;01/06/2021")&gt;=1,"Đã bảo trì","")</f>
        <v/>
      </c>
      <c r="E106" s="14" t="str">
        <f>if(countifs(DATABASE!I:I,"Bảo trì",DATABASE!E:E,B106,DATABASE!A:A,"&gt;01/06/2021",DATABASE!A:A,"&lt;01/09/2021")&gt;=1,"Đã bảo trì","")</f>
        <v/>
      </c>
      <c r="F106" s="14">
        <f>countifs(DATABASE!E:E,B106)</f>
        <v>0</v>
      </c>
    </row>
    <row r="107">
      <c r="A107" s="19">
        <v>104.0</v>
      </c>
      <c r="B107" s="41" t="s">
        <v>856</v>
      </c>
      <c r="C107" s="40" t="s">
        <v>857</v>
      </c>
      <c r="D107" s="14" t="str">
        <f>if(countifs(DATABASE!I:I,"Bảo trì",DATABASE!E:E,B107,DATABASE!A:A,"&gt;01/03/2021",DATABASE!A:A,"&lt;01/06/2021")&gt;=1,"Đã bảo trì","")</f>
        <v/>
      </c>
      <c r="E107" s="14" t="str">
        <f>if(countifs(DATABASE!I:I,"Bảo trì",DATABASE!E:E,B107,DATABASE!A:A,"&gt;01/06/2021",DATABASE!A:A,"&lt;01/09/2021")&gt;=1,"Đã bảo trì","")</f>
        <v/>
      </c>
      <c r="F107" s="14">
        <f>countifs(DATABASE!E:E,B107)</f>
        <v>0</v>
      </c>
    </row>
    <row r="108">
      <c r="A108" s="19">
        <v>105.0</v>
      </c>
      <c r="B108" s="41" t="s">
        <v>858</v>
      </c>
      <c r="C108" s="40" t="s">
        <v>859</v>
      </c>
      <c r="D108" s="14" t="str">
        <f>if(countifs(DATABASE!I:I,"Bảo trì",DATABASE!E:E,B108,DATABASE!A:A,"&gt;01/03/2021",DATABASE!A:A,"&lt;01/06/2021")&gt;=1,"Đã bảo trì","")</f>
        <v/>
      </c>
      <c r="E108" s="14" t="str">
        <f>if(countifs(DATABASE!I:I,"Bảo trì",DATABASE!E:E,B108,DATABASE!A:A,"&gt;01/06/2021",DATABASE!A:A,"&lt;01/09/2021")&gt;=1,"Đã bảo trì","")</f>
        <v/>
      </c>
      <c r="F108" s="14">
        <f>countifs(DATABASE!E:E,B108)</f>
        <v>0</v>
      </c>
    </row>
    <row r="109">
      <c r="A109" s="15">
        <v>106.0</v>
      </c>
      <c r="B109" s="41" t="s">
        <v>860</v>
      </c>
      <c r="C109" s="40" t="s">
        <v>861</v>
      </c>
      <c r="D109" s="14" t="str">
        <f>if(countifs(DATABASE!I:I,"Bảo trì",DATABASE!E:E,B109,DATABASE!A:A,"&gt;01/03/2021",DATABASE!A:A,"&lt;01/06/2021")&gt;=1,"Đã bảo trì","")</f>
        <v/>
      </c>
      <c r="E109" s="14" t="str">
        <f>if(countifs(DATABASE!I:I,"Bảo trì",DATABASE!E:E,B109,DATABASE!A:A,"&gt;01/06/2021",DATABASE!A:A,"&lt;01/09/2021")&gt;=1,"Đã bảo trì","")</f>
        <v/>
      </c>
      <c r="F109" s="14">
        <f>countifs(DATABASE!E:E,B109)</f>
        <v>0</v>
      </c>
    </row>
    <row r="110">
      <c r="A110" s="19">
        <v>107.0</v>
      </c>
      <c r="B110" s="41" t="s">
        <v>862</v>
      </c>
      <c r="C110" s="40" t="s">
        <v>863</v>
      </c>
      <c r="D110" s="14" t="str">
        <f>if(countifs(DATABASE!I:I,"Bảo trì",DATABASE!E:E,B110,DATABASE!A:A,"&gt;01/03/2021",DATABASE!A:A,"&lt;01/06/2021")&gt;=1,"Đã bảo trì","")</f>
        <v/>
      </c>
      <c r="E110" s="14" t="str">
        <f>if(countifs(DATABASE!I:I,"Bảo trì",DATABASE!E:E,B110,DATABASE!A:A,"&gt;01/06/2021",DATABASE!A:A,"&lt;01/09/2021")&gt;=1,"Đã bảo trì","")</f>
        <v/>
      </c>
      <c r="F110" s="14">
        <f>countifs(DATABASE!E:E,B110)</f>
        <v>0</v>
      </c>
    </row>
    <row r="111">
      <c r="A111" s="19">
        <v>108.0</v>
      </c>
      <c r="B111" s="41" t="s">
        <v>864</v>
      </c>
      <c r="C111" s="40" t="s">
        <v>865</v>
      </c>
      <c r="D111" s="14" t="str">
        <f>if(countifs(DATABASE!I:I,"Bảo trì",DATABASE!E:E,B111,DATABASE!A:A,"&gt;01/03/2021",DATABASE!A:A,"&lt;01/06/2021")&gt;=1,"Đã bảo trì","")</f>
        <v>Đã bảo trì</v>
      </c>
      <c r="E111" s="14" t="str">
        <f>if(countifs(DATABASE!I:I,"Bảo trì",DATABASE!E:E,B111,DATABASE!A:A,"&gt;01/06/2021",DATABASE!A:A,"&lt;01/09/2021")&gt;=1,"Đã bảo trì","")</f>
        <v/>
      </c>
      <c r="F111" s="14">
        <f>countifs(DATABASE!E:E,B111)</f>
        <v>1</v>
      </c>
    </row>
    <row r="112">
      <c r="A112" s="15">
        <v>109.0</v>
      </c>
      <c r="B112" s="41" t="s">
        <v>866</v>
      </c>
      <c r="C112" s="40" t="s">
        <v>867</v>
      </c>
      <c r="D112" s="14" t="str">
        <f>if(countifs(DATABASE!I:I,"Bảo trì",DATABASE!E:E,B112,DATABASE!A:A,"&gt;01/03/2021",DATABASE!A:A,"&lt;01/06/2021")&gt;=1,"Đã bảo trì","")</f>
        <v>Đã bảo trì</v>
      </c>
      <c r="E112" s="14" t="str">
        <f>if(countifs(DATABASE!I:I,"Bảo trì",DATABASE!E:E,B112,DATABASE!A:A,"&gt;01/06/2021",DATABASE!A:A,"&lt;01/09/2021")&gt;=1,"Đã bảo trì","")</f>
        <v/>
      </c>
      <c r="F112" s="14">
        <f>countifs(DATABASE!E:E,B112)</f>
        <v>1</v>
      </c>
    </row>
    <row r="113">
      <c r="A113" s="19">
        <v>110.0</v>
      </c>
      <c r="B113" s="41" t="s">
        <v>868</v>
      </c>
      <c r="C113" s="40" t="s">
        <v>869</v>
      </c>
      <c r="D113" s="14" t="str">
        <f>if(countifs(DATABASE!I:I,"Bảo trì",DATABASE!E:E,B113,DATABASE!A:A,"&gt;01/03/2021",DATABASE!A:A,"&lt;01/06/2021")&gt;=1,"Đã bảo trì","")</f>
        <v/>
      </c>
      <c r="E113" s="14" t="str">
        <f>if(countifs(DATABASE!I:I,"Bảo trì",DATABASE!E:E,B113,DATABASE!A:A,"&gt;01/06/2021",DATABASE!A:A,"&lt;01/09/2021")&gt;=1,"Đã bảo trì","")</f>
        <v/>
      </c>
      <c r="F113" s="14">
        <f>countifs(DATABASE!E:E,B113)</f>
        <v>0</v>
      </c>
    </row>
    <row r="114">
      <c r="A114" s="19">
        <v>111.0</v>
      </c>
      <c r="B114" s="41" t="s">
        <v>870</v>
      </c>
      <c r="C114" s="40" t="s">
        <v>871</v>
      </c>
      <c r="D114" s="14" t="str">
        <f>if(countifs(DATABASE!I:I,"Bảo trì",DATABASE!E:E,B114,DATABASE!A:A,"&gt;01/03/2021",DATABASE!A:A,"&lt;01/06/2021")&gt;=1,"Đã bảo trì","")</f>
        <v>Đã bảo trì</v>
      </c>
      <c r="E114" s="14" t="str">
        <f>if(countifs(DATABASE!I:I,"Bảo trì",DATABASE!E:E,B114,DATABASE!A:A,"&gt;01/06/2021",DATABASE!A:A,"&lt;01/09/2021")&gt;=1,"Đã bảo trì","")</f>
        <v/>
      </c>
      <c r="F114" s="14">
        <f>countifs(DATABASE!E:E,B114)</f>
        <v>2</v>
      </c>
    </row>
    <row r="115">
      <c r="A115" s="15">
        <v>112.0</v>
      </c>
      <c r="B115" s="41" t="s">
        <v>872</v>
      </c>
      <c r="C115" s="40" t="s">
        <v>873</v>
      </c>
      <c r="D115" s="14" t="str">
        <f>if(countifs(DATABASE!I:I,"Bảo trì",DATABASE!E:E,B115,DATABASE!A:A,"&gt;01/03/2021",DATABASE!A:A,"&lt;01/06/2021")&gt;=1,"Đã bảo trì","")</f>
        <v>Đã bảo trì</v>
      </c>
      <c r="E115" s="14" t="str">
        <f>if(countifs(DATABASE!I:I,"Bảo trì",DATABASE!E:E,B115,DATABASE!A:A,"&gt;01/06/2021",DATABASE!A:A,"&lt;01/09/2021")&gt;=1,"Đã bảo trì","")</f>
        <v/>
      </c>
      <c r="F115" s="14">
        <f>countifs(DATABASE!E:E,B115)</f>
        <v>1</v>
      </c>
    </row>
    <row r="116">
      <c r="A116" s="19">
        <v>113.0</v>
      </c>
      <c r="B116" s="41" t="s">
        <v>874</v>
      </c>
      <c r="C116" s="40" t="s">
        <v>875</v>
      </c>
      <c r="D116" s="14" t="str">
        <f>if(countifs(DATABASE!I:I,"Bảo trì",DATABASE!E:E,B116,DATABASE!A:A,"&gt;01/03/2021",DATABASE!A:A,"&lt;01/06/2021")&gt;=1,"Đã bảo trì","")</f>
        <v>Đã bảo trì</v>
      </c>
      <c r="E116" s="14" t="str">
        <f>if(countifs(DATABASE!I:I,"Bảo trì",DATABASE!E:E,B116,DATABASE!A:A,"&gt;01/06/2021",DATABASE!A:A,"&lt;01/09/2021")&gt;=1,"Đã bảo trì","")</f>
        <v/>
      </c>
      <c r="F116" s="14">
        <f>countifs(DATABASE!E:E,B116)</f>
        <v>1</v>
      </c>
    </row>
    <row r="117">
      <c r="A117" s="19">
        <v>114.0</v>
      </c>
      <c r="B117" s="41" t="s">
        <v>876</v>
      </c>
      <c r="C117" s="40" t="s">
        <v>877</v>
      </c>
      <c r="D117" s="14" t="str">
        <f>if(countifs(DATABASE!I:I,"Bảo trì",DATABASE!E:E,B117,DATABASE!A:A,"&gt;01/03/2021",DATABASE!A:A,"&lt;01/06/2021")&gt;=1,"Đã bảo trì","")</f>
        <v/>
      </c>
      <c r="E117" s="14" t="str">
        <f>if(countifs(DATABASE!I:I,"Bảo trì",DATABASE!E:E,B117,DATABASE!A:A,"&gt;01/06/2021",DATABASE!A:A,"&lt;01/09/2021")&gt;=1,"Đã bảo trì","")</f>
        <v/>
      </c>
      <c r="F117" s="14">
        <f>countifs(DATABASE!E:E,B117)</f>
        <v>0</v>
      </c>
    </row>
    <row r="118">
      <c r="A118" s="15">
        <v>115.0</v>
      </c>
      <c r="B118" s="41" t="s">
        <v>878</v>
      </c>
      <c r="C118" s="40" t="s">
        <v>879</v>
      </c>
      <c r="D118" s="14" t="str">
        <f>if(countifs(DATABASE!I:I,"Bảo trì",DATABASE!E:E,B118,DATABASE!A:A,"&gt;01/03/2021",DATABASE!A:A,"&lt;01/06/2021")&gt;=1,"Đã bảo trì","")</f>
        <v/>
      </c>
      <c r="E118" s="14" t="str">
        <f>if(countifs(DATABASE!I:I,"Bảo trì",DATABASE!E:E,B118,DATABASE!A:A,"&gt;01/06/2021",DATABASE!A:A,"&lt;01/09/2021")&gt;=1,"Đã bảo trì","")</f>
        <v/>
      </c>
      <c r="F118" s="14">
        <f>countifs(DATABASE!E:E,B118)</f>
        <v>1</v>
      </c>
    </row>
    <row r="119">
      <c r="A119" s="19">
        <v>116.0</v>
      </c>
      <c r="B119" s="41" t="s">
        <v>880</v>
      </c>
      <c r="C119" s="40" t="s">
        <v>881</v>
      </c>
      <c r="D119" s="14" t="str">
        <f>if(countifs(DATABASE!I:I,"Bảo trì",DATABASE!E:E,B119,DATABASE!A:A,"&gt;01/03/2021",DATABASE!A:A,"&lt;01/06/2021")&gt;=1,"Đã bảo trì","")</f>
        <v/>
      </c>
      <c r="E119" s="14" t="str">
        <f>if(countifs(DATABASE!I:I,"Bảo trì",DATABASE!E:E,B119,DATABASE!A:A,"&gt;01/06/2021",DATABASE!A:A,"&lt;01/09/2021")&gt;=1,"Đã bảo trì","")</f>
        <v/>
      </c>
      <c r="F119" s="14">
        <f>countifs(DATABASE!E:E,B119)</f>
        <v>0</v>
      </c>
    </row>
    <row r="120">
      <c r="A120" s="19">
        <v>117.0</v>
      </c>
      <c r="B120" s="41" t="s">
        <v>882</v>
      </c>
      <c r="C120" s="40" t="s">
        <v>883</v>
      </c>
      <c r="D120" s="14" t="str">
        <f>if(countifs(DATABASE!I:I,"Bảo trì",DATABASE!E:E,B120,DATABASE!A:A,"&gt;01/03/2021",DATABASE!A:A,"&lt;01/06/2021")&gt;=1,"Đã bảo trì","")</f>
        <v/>
      </c>
      <c r="E120" s="14" t="str">
        <f>if(countifs(DATABASE!I:I,"Bảo trì",DATABASE!E:E,B120,DATABASE!A:A,"&gt;01/06/2021",DATABASE!A:A,"&lt;01/09/2021")&gt;=1,"Đã bảo trì","")</f>
        <v/>
      </c>
      <c r="F120" s="14">
        <f>countifs(DATABASE!E:E,B120)</f>
        <v>0</v>
      </c>
    </row>
    <row r="121">
      <c r="A121" s="15">
        <v>118.0</v>
      </c>
      <c r="B121" s="41" t="s">
        <v>884</v>
      </c>
      <c r="C121" s="40" t="s">
        <v>885</v>
      </c>
      <c r="D121" s="14" t="str">
        <f>if(countifs(DATABASE!I:I,"Bảo trì",DATABASE!E:E,B121,DATABASE!A:A,"&gt;01/03/2021",DATABASE!A:A,"&lt;01/06/2021")&gt;=1,"Đã bảo trì","")</f>
        <v/>
      </c>
      <c r="E121" s="14" t="str">
        <f>if(countifs(DATABASE!I:I,"Bảo trì",DATABASE!E:E,B121,DATABASE!A:A,"&gt;01/06/2021",DATABASE!A:A,"&lt;01/09/2021")&gt;=1,"Đã bảo trì","")</f>
        <v/>
      </c>
      <c r="F121" s="14">
        <f>countifs(DATABASE!E:E,B121)</f>
        <v>0</v>
      </c>
    </row>
    <row r="122">
      <c r="A122" s="19">
        <v>119.0</v>
      </c>
      <c r="B122" s="41" t="s">
        <v>886</v>
      </c>
      <c r="C122" s="40" t="s">
        <v>885</v>
      </c>
      <c r="D122" s="14" t="str">
        <f>if(countifs(DATABASE!I:I,"Bảo trì",DATABASE!E:E,B122,DATABASE!A:A,"&gt;01/03/2021",DATABASE!A:A,"&lt;01/06/2021")&gt;=1,"Đã bảo trì","")</f>
        <v/>
      </c>
      <c r="E122" s="14" t="str">
        <f>if(countifs(DATABASE!I:I,"Bảo trì",DATABASE!E:E,B122,DATABASE!A:A,"&gt;01/06/2021",DATABASE!A:A,"&lt;01/09/2021")&gt;=1,"Đã bảo trì","")</f>
        <v/>
      </c>
      <c r="F122" s="14">
        <f>countifs(DATABASE!E:E,B122)</f>
        <v>0</v>
      </c>
    </row>
    <row r="123">
      <c r="A123" s="19">
        <v>120.0</v>
      </c>
      <c r="B123" s="41" t="s">
        <v>887</v>
      </c>
      <c r="C123" s="40" t="s">
        <v>888</v>
      </c>
      <c r="D123" s="14" t="str">
        <f>if(countifs(DATABASE!I:I,"Bảo trì",DATABASE!E:E,B123,DATABASE!A:A,"&gt;01/03/2021",DATABASE!A:A,"&lt;01/06/2021")&gt;=1,"Đã bảo trì","")</f>
        <v/>
      </c>
      <c r="E123" s="14" t="str">
        <f>if(countifs(DATABASE!I:I,"Bảo trì",DATABASE!E:E,B123,DATABASE!A:A,"&gt;01/06/2021",DATABASE!A:A,"&lt;01/09/2021")&gt;=1,"Đã bảo trì","")</f>
        <v/>
      </c>
      <c r="F123" s="14">
        <f>countifs(DATABASE!E:E,B123)</f>
        <v>0</v>
      </c>
    </row>
    <row r="124">
      <c r="A124" s="15">
        <v>121.0</v>
      </c>
      <c r="B124" s="41" t="s">
        <v>889</v>
      </c>
      <c r="C124" s="40" t="s">
        <v>890</v>
      </c>
      <c r="D124" s="14" t="str">
        <f>if(countifs(DATABASE!I:I,"Bảo trì",DATABASE!E:E,B124,DATABASE!A:A,"&gt;01/03/2021",DATABASE!A:A,"&lt;01/06/2021")&gt;=1,"Đã bảo trì","")</f>
        <v>Đã bảo trì</v>
      </c>
      <c r="E124" s="14" t="str">
        <f>if(countifs(DATABASE!I:I,"Bảo trì",DATABASE!E:E,B124,DATABASE!A:A,"&gt;01/06/2021",DATABASE!A:A,"&lt;01/09/2021")&gt;=1,"Đã bảo trì","")</f>
        <v/>
      </c>
      <c r="F124" s="14">
        <f>countifs(DATABASE!E:E,B124)</f>
        <v>1</v>
      </c>
    </row>
    <row r="125">
      <c r="A125" s="19">
        <v>122.0</v>
      </c>
      <c r="B125" s="41" t="s">
        <v>891</v>
      </c>
      <c r="C125" s="40" t="s">
        <v>890</v>
      </c>
      <c r="D125" s="14" t="str">
        <f>if(countifs(DATABASE!I:I,"Bảo trì",DATABASE!E:E,B125,DATABASE!A:A,"&gt;01/03/2021",DATABASE!A:A,"&lt;01/06/2021")&gt;=1,"Đã bảo trì","")</f>
        <v/>
      </c>
      <c r="E125" s="14" t="str">
        <f>if(countifs(DATABASE!I:I,"Bảo trì",DATABASE!E:E,B125,DATABASE!A:A,"&gt;01/06/2021",DATABASE!A:A,"&lt;01/09/2021")&gt;=1,"Đã bảo trì","")</f>
        <v/>
      </c>
      <c r="F125" s="14">
        <f>countifs(DATABASE!E:E,B125)</f>
        <v>0</v>
      </c>
    </row>
    <row r="126">
      <c r="A126" s="19">
        <v>123.0</v>
      </c>
      <c r="B126" s="41" t="s">
        <v>892</v>
      </c>
      <c r="C126" s="40" t="s">
        <v>893</v>
      </c>
      <c r="D126" s="14" t="str">
        <f>if(countifs(DATABASE!I:I,"Bảo trì",DATABASE!E:E,B126,DATABASE!A:A,"&gt;01/03/2021",DATABASE!A:A,"&lt;01/06/2021")&gt;=1,"Đã bảo trì","")</f>
        <v/>
      </c>
      <c r="E126" s="14" t="str">
        <f>if(countifs(DATABASE!I:I,"Bảo trì",DATABASE!E:E,B126,DATABASE!A:A,"&gt;01/06/2021",DATABASE!A:A,"&lt;01/09/2021")&gt;=1,"Đã bảo trì","")</f>
        <v/>
      </c>
      <c r="F126" s="14">
        <f>countifs(DATABASE!E:E,B126)</f>
        <v>0</v>
      </c>
    </row>
    <row r="127">
      <c r="A127" s="15">
        <v>124.0</v>
      </c>
      <c r="B127" s="41" t="s">
        <v>894</v>
      </c>
      <c r="C127" s="40" t="s">
        <v>895</v>
      </c>
      <c r="D127" s="14" t="str">
        <f>if(countifs(DATABASE!I:I,"Bảo trì",DATABASE!E:E,B127,DATABASE!A:A,"&gt;01/03/2021",DATABASE!A:A,"&lt;01/06/2021")&gt;=1,"Đã bảo trì","")</f>
        <v/>
      </c>
      <c r="E127" s="14" t="str">
        <f>if(countifs(DATABASE!I:I,"Bảo trì",DATABASE!E:E,B127,DATABASE!A:A,"&gt;01/06/2021",DATABASE!A:A,"&lt;01/09/2021")&gt;=1,"Đã bảo trì","")</f>
        <v/>
      </c>
      <c r="F127" s="14">
        <f>countifs(DATABASE!E:E,B127)</f>
        <v>0</v>
      </c>
    </row>
    <row r="128">
      <c r="A128" s="19">
        <v>125.0</v>
      </c>
      <c r="B128" s="41" t="s">
        <v>896</v>
      </c>
      <c r="C128" s="40" t="s">
        <v>895</v>
      </c>
      <c r="D128" s="14" t="str">
        <f>if(countifs(DATABASE!I:I,"Bảo trì",DATABASE!E:E,B128,DATABASE!A:A,"&gt;01/03/2021",DATABASE!A:A,"&lt;01/06/2021")&gt;=1,"Đã bảo trì","")</f>
        <v/>
      </c>
      <c r="E128" s="14" t="str">
        <f>if(countifs(DATABASE!I:I,"Bảo trì",DATABASE!E:E,B128,DATABASE!A:A,"&gt;01/06/2021",DATABASE!A:A,"&lt;01/09/2021")&gt;=1,"Đã bảo trì","")</f>
        <v/>
      </c>
      <c r="F128" s="14">
        <f>countifs(DATABASE!E:E,B128)</f>
        <v>0</v>
      </c>
    </row>
    <row r="129">
      <c r="A129" s="19">
        <v>126.0</v>
      </c>
      <c r="B129" s="41" t="s">
        <v>897</v>
      </c>
      <c r="C129" s="40" t="s">
        <v>898</v>
      </c>
      <c r="D129" s="14" t="str">
        <f>if(countifs(DATABASE!I:I,"Bảo trì",DATABASE!E:E,B129,DATABASE!A:A,"&gt;01/03/2021",DATABASE!A:A,"&lt;01/06/2021")&gt;=1,"Đã bảo trì","")</f>
        <v/>
      </c>
      <c r="E129" s="14" t="str">
        <f>if(countifs(DATABASE!I:I,"Bảo trì",DATABASE!E:E,B129,DATABASE!A:A,"&gt;01/06/2021",DATABASE!A:A,"&lt;01/09/2021")&gt;=1,"Đã bảo trì","")</f>
        <v/>
      </c>
      <c r="F129" s="14">
        <f>countifs(DATABASE!E:E,B129)</f>
        <v>0</v>
      </c>
    </row>
    <row r="130">
      <c r="A130" s="15">
        <v>127.0</v>
      </c>
      <c r="B130" s="41" t="s">
        <v>899</v>
      </c>
      <c r="C130" s="40" t="s">
        <v>900</v>
      </c>
      <c r="D130" s="14" t="str">
        <f>if(countifs(DATABASE!I:I,"Bảo trì",DATABASE!E:E,B130,DATABASE!A:A,"&gt;01/03/2021",DATABASE!A:A,"&lt;01/06/2021")&gt;=1,"Đã bảo trì","")</f>
        <v/>
      </c>
      <c r="E130" s="14" t="str">
        <f>if(countifs(DATABASE!I:I,"Bảo trì",DATABASE!E:E,B130,DATABASE!A:A,"&gt;01/06/2021",DATABASE!A:A,"&lt;01/09/2021")&gt;=1,"Đã bảo trì","")</f>
        <v/>
      </c>
      <c r="F130" s="14">
        <f>countifs(DATABASE!E:E,B130)</f>
        <v>0</v>
      </c>
    </row>
    <row r="131">
      <c r="A131" s="19">
        <v>128.0</v>
      </c>
      <c r="B131" s="41" t="s">
        <v>901</v>
      </c>
      <c r="C131" s="40" t="s">
        <v>902</v>
      </c>
      <c r="D131" s="14" t="str">
        <f>if(countifs(DATABASE!I:I,"Bảo trì",DATABASE!E:E,B131,DATABASE!A:A,"&gt;01/03/2021",DATABASE!A:A,"&lt;01/06/2021")&gt;=1,"Đã bảo trì","")</f>
        <v/>
      </c>
      <c r="E131" s="14" t="str">
        <f>if(countifs(DATABASE!I:I,"Bảo trì",DATABASE!E:E,B131,DATABASE!A:A,"&gt;01/06/2021",DATABASE!A:A,"&lt;01/09/2021")&gt;=1,"Đã bảo trì","")</f>
        <v/>
      </c>
      <c r="F131" s="14">
        <f>countifs(DATABASE!E:E,B131)</f>
        <v>0</v>
      </c>
    </row>
    <row r="132">
      <c r="A132" s="19">
        <v>129.0</v>
      </c>
      <c r="B132" s="41" t="s">
        <v>903</v>
      </c>
      <c r="C132" s="40" t="s">
        <v>904</v>
      </c>
      <c r="D132" s="14" t="str">
        <f>if(countifs(DATABASE!I:I,"Bảo trì",DATABASE!E:E,B132,DATABASE!A:A,"&gt;01/03/2021",DATABASE!A:A,"&lt;01/06/2021")&gt;=1,"Đã bảo trì","")</f>
        <v/>
      </c>
      <c r="E132" s="14" t="str">
        <f>if(countifs(DATABASE!I:I,"Bảo trì",DATABASE!E:E,B132,DATABASE!A:A,"&gt;01/06/2021",DATABASE!A:A,"&lt;01/09/2021")&gt;=1,"Đã bảo trì","")</f>
        <v/>
      </c>
      <c r="F132" s="14">
        <f>countifs(DATABASE!E:E,B132)</f>
        <v>0</v>
      </c>
    </row>
    <row r="133">
      <c r="A133" s="15">
        <v>130.0</v>
      </c>
      <c r="B133" s="41" t="s">
        <v>905</v>
      </c>
      <c r="C133" s="40" t="s">
        <v>904</v>
      </c>
      <c r="D133" s="14" t="str">
        <f>if(countifs(DATABASE!I:I,"Bảo trì",DATABASE!E:E,B133,DATABASE!A:A,"&gt;01/03/2021",DATABASE!A:A,"&lt;01/06/2021")&gt;=1,"Đã bảo trì","")</f>
        <v/>
      </c>
      <c r="E133" s="14" t="str">
        <f>if(countifs(DATABASE!I:I,"Bảo trì",DATABASE!E:E,B133,DATABASE!A:A,"&gt;01/06/2021",DATABASE!A:A,"&lt;01/09/2021")&gt;=1,"Đã bảo trì","")</f>
        <v/>
      </c>
      <c r="F133" s="14">
        <f>countifs(DATABASE!E:E,B133)</f>
        <v>0</v>
      </c>
    </row>
    <row r="134">
      <c r="A134" s="19">
        <v>131.0</v>
      </c>
      <c r="B134" s="41" t="s">
        <v>906</v>
      </c>
      <c r="C134" s="40" t="s">
        <v>907</v>
      </c>
      <c r="D134" s="14" t="str">
        <f>if(countifs(DATABASE!I:I,"Bảo trì",DATABASE!E:E,B134,DATABASE!A:A,"&gt;01/03/2021",DATABASE!A:A,"&lt;01/06/2021")&gt;=1,"Đã bảo trì","")</f>
        <v/>
      </c>
      <c r="E134" s="14" t="str">
        <f>if(countifs(DATABASE!I:I,"Bảo trì",DATABASE!E:E,B134,DATABASE!A:A,"&gt;01/06/2021",DATABASE!A:A,"&lt;01/09/2021")&gt;=1,"Đã bảo trì","")</f>
        <v/>
      </c>
      <c r="F134" s="14">
        <f>countifs(DATABASE!E:E,B134)</f>
        <v>0</v>
      </c>
    </row>
    <row r="135">
      <c r="A135" s="19">
        <v>132.0</v>
      </c>
      <c r="B135" s="41" t="s">
        <v>908</v>
      </c>
      <c r="C135" s="40" t="s">
        <v>909</v>
      </c>
      <c r="D135" s="14" t="str">
        <f>if(countifs(DATABASE!I:I,"Bảo trì",DATABASE!E:E,B135,DATABASE!A:A,"&gt;01/03/2021",DATABASE!A:A,"&lt;01/06/2021")&gt;=1,"Đã bảo trì","")</f>
        <v/>
      </c>
      <c r="E135" s="14" t="str">
        <f>if(countifs(DATABASE!I:I,"Bảo trì",DATABASE!E:E,B135,DATABASE!A:A,"&gt;01/06/2021",DATABASE!A:A,"&lt;01/09/2021")&gt;=1,"Đã bảo trì","")</f>
        <v/>
      </c>
      <c r="F135" s="14">
        <f>countifs(DATABASE!E:E,B135)</f>
        <v>0</v>
      </c>
    </row>
    <row r="136">
      <c r="A136" s="15">
        <v>133.0</v>
      </c>
      <c r="B136" s="41" t="s">
        <v>910</v>
      </c>
      <c r="C136" s="40" t="s">
        <v>911</v>
      </c>
      <c r="D136" s="14" t="str">
        <f>if(countifs(DATABASE!I:I,"Bảo trì",DATABASE!E:E,B136,DATABASE!A:A,"&gt;01/03/2021",DATABASE!A:A,"&lt;01/06/2021")&gt;=1,"Đã bảo trì","")</f>
        <v>Đã bảo trì</v>
      </c>
      <c r="E136" s="14" t="str">
        <f>if(countifs(DATABASE!I:I,"Bảo trì",DATABASE!E:E,B136,DATABASE!A:A,"&gt;01/06/2021",DATABASE!A:A,"&lt;01/09/2021")&gt;=1,"Đã bảo trì","")</f>
        <v/>
      </c>
      <c r="F136" s="14">
        <f>countifs(DATABASE!E:E,B136)</f>
        <v>1</v>
      </c>
    </row>
    <row r="137">
      <c r="A137" s="19">
        <v>134.0</v>
      </c>
      <c r="B137" s="41" t="s">
        <v>912</v>
      </c>
      <c r="C137" s="43" t="s">
        <v>913</v>
      </c>
      <c r="D137" s="14" t="str">
        <f>if(countifs(DATABASE!I:I,"Bảo trì",DATABASE!E:E,B137,DATABASE!A:A,"&gt;01/03/2021",DATABASE!A:A,"&lt;01/06/2021")&gt;=1,"Đã bảo trì","")</f>
        <v>Đã bảo trì</v>
      </c>
      <c r="E137" s="14" t="str">
        <f>if(countifs(DATABASE!I:I,"Bảo trì",DATABASE!E:E,B137,DATABASE!A:A,"&gt;01/06/2021",DATABASE!A:A,"&lt;01/09/2021")&gt;=1,"Đã bảo trì","")</f>
        <v/>
      </c>
      <c r="F137" s="14">
        <f>countifs(DATABASE!E:E,B137)</f>
        <v>1</v>
      </c>
    </row>
    <row r="138">
      <c r="A138" s="19">
        <v>135.0</v>
      </c>
      <c r="B138" s="41" t="s">
        <v>914</v>
      </c>
      <c r="C138" s="43" t="s">
        <v>915</v>
      </c>
      <c r="D138" s="14" t="str">
        <f>if(countifs(DATABASE!I:I,"Bảo trì",DATABASE!E:E,B138,DATABASE!A:A,"&gt;01/03/2021",DATABASE!A:A,"&lt;01/06/2021")&gt;=1,"Đã bảo trì","")</f>
        <v/>
      </c>
      <c r="E138" s="14" t="str">
        <f>if(countifs(DATABASE!I:I,"Bảo trì",DATABASE!E:E,B138,DATABASE!A:A,"&gt;01/06/2021",DATABASE!A:A,"&lt;01/09/2021")&gt;=1,"Đã bảo trì","")</f>
        <v/>
      </c>
      <c r="F138" s="14">
        <f>countifs(DATABASE!E:E,B138)</f>
        <v>0</v>
      </c>
    </row>
    <row r="139">
      <c r="A139" s="15">
        <v>136.0</v>
      </c>
      <c r="B139" s="41" t="s">
        <v>916</v>
      </c>
      <c r="C139" s="40" t="s">
        <v>917</v>
      </c>
      <c r="D139" s="14" t="str">
        <f>if(countifs(DATABASE!I:I,"Bảo trì",DATABASE!E:E,B139,DATABASE!A:A,"&gt;01/03/2021",DATABASE!A:A,"&lt;01/06/2021")&gt;=1,"Đã bảo trì","")</f>
        <v>Đã bảo trì</v>
      </c>
      <c r="E139" s="14" t="str">
        <f>if(countifs(DATABASE!I:I,"Bảo trì",DATABASE!E:E,B139,DATABASE!A:A,"&gt;01/06/2021",DATABASE!A:A,"&lt;01/09/2021")&gt;=1,"Đã bảo trì","")</f>
        <v/>
      </c>
      <c r="F139" s="14">
        <f>countifs(DATABASE!E:E,B139)</f>
        <v>1</v>
      </c>
    </row>
    <row r="140">
      <c r="A140" s="19">
        <v>137.0</v>
      </c>
      <c r="B140" s="41" t="s">
        <v>918</v>
      </c>
      <c r="C140" s="40" t="s">
        <v>917</v>
      </c>
      <c r="D140" s="14" t="str">
        <f>if(countifs(DATABASE!I:I,"Bảo trì",DATABASE!E:E,B140,DATABASE!A:A,"&gt;01/03/2021",DATABASE!A:A,"&lt;01/06/2021")&gt;=1,"Đã bảo trì","")</f>
        <v>Đã bảo trì</v>
      </c>
      <c r="E140" s="14" t="str">
        <f>if(countifs(DATABASE!I:I,"Bảo trì",DATABASE!E:E,B140,DATABASE!A:A,"&gt;01/06/2021",DATABASE!A:A,"&lt;01/09/2021")&gt;=1,"Đã bảo trì","")</f>
        <v/>
      </c>
      <c r="F140" s="14">
        <f>countifs(DATABASE!E:E,B140)</f>
        <v>1</v>
      </c>
    </row>
    <row r="141">
      <c r="A141" s="19">
        <v>138.0</v>
      </c>
      <c r="B141" s="41" t="s">
        <v>919</v>
      </c>
      <c r="C141" s="40" t="s">
        <v>920</v>
      </c>
      <c r="D141" s="14" t="str">
        <f>if(countifs(DATABASE!I:I,"Bảo trì",DATABASE!E:E,B141,DATABASE!A:A,"&gt;01/03/2021",DATABASE!A:A,"&lt;01/06/2021")&gt;=1,"Đã bảo trì","")</f>
        <v/>
      </c>
      <c r="E141" s="14" t="str">
        <f>if(countifs(DATABASE!I:I,"Bảo trì",DATABASE!E:E,B141,DATABASE!A:A,"&gt;01/06/2021",DATABASE!A:A,"&lt;01/09/2021")&gt;=1,"Đã bảo trì","")</f>
        <v/>
      </c>
      <c r="F141" s="14">
        <f>countifs(DATABASE!E:E,B141)</f>
        <v>2</v>
      </c>
    </row>
    <row r="142">
      <c r="A142" s="15">
        <v>139.0</v>
      </c>
      <c r="B142" s="41" t="s">
        <v>921</v>
      </c>
      <c r="C142" s="40" t="s">
        <v>920</v>
      </c>
      <c r="D142" s="14" t="str">
        <f>if(countifs(DATABASE!I:I,"Bảo trì",DATABASE!E:E,B142,DATABASE!A:A,"&gt;01/03/2021",DATABASE!A:A,"&lt;01/06/2021")&gt;=1,"Đã bảo trì","")</f>
        <v/>
      </c>
      <c r="E142" s="14" t="str">
        <f>if(countifs(DATABASE!I:I,"Bảo trì",DATABASE!E:E,B142,DATABASE!A:A,"&gt;01/06/2021",DATABASE!A:A,"&lt;01/09/2021")&gt;=1,"Đã bảo trì","")</f>
        <v/>
      </c>
      <c r="F142" s="14">
        <f>countifs(DATABASE!E:E,B142)</f>
        <v>0</v>
      </c>
    </row>
    <row r="143">
      <c r="A143" s="19">
        <v>140.0</v>
      </c>
      <c r="B143" s="41" t="s">
        <v>922</v>
      </c>
      <c r="C143" s="40" t="s">
        <v>923</v>
      </c>
      <c r="D143" s="14" t="str">
        <f>if(countifs(DATABASE!I:I,"Bảo trì",DATABASE!E:E,B143,DATABASE!A:A,"&gt;01/03/2021",DATABASE!A:A,"&lt;01/06/2021")&gt;=1,"Đã bảo trì","")</f>
        <v/>
      </c>
      <c r="E143" s="14" t="str">
        <f>if(countifs(DATABASE!I:I,"Bảo trì",DATABASE!E:E,B143,DATABASE!A:A,"&gt;01/06/2021",DATABASE!A:A,"&lt;01/09/2021")&gt;=1,"Đã bảo trì","")</f>
        <v/>
      </c>
      <c r="F143" s="14">
        <f>countifs(DATABASE!E:E,B143)</f>
        <v>0</v>
      </c>
    </row>
    <row r="144">
      <c r="A144" s="19">
        <v>141.0</v>
      </c>
      <c r="B144" s="41" t="s">
        <v>924</v>
      </c>
      <c r="C144" s="40" t="s">
        <v>925</v>
      </c>
      <c r="D144" s="14" t="str">
        <f>if(countifs(DATABASE!I:I,"Bảo trì",DATABASE!E:E,B144,DATABASE!A:A,"&gt;01/03/2021",DATABASE!A:A,"&lt;01/06/2021")&gt;=1,"Đã bảo trì","")</f>
        <v/>
      </c>
      <c r="E144" s="14" t="str">
        <f>if(countifs(DATABASE!I:I,"Bảo trì",DATABASE!E:E,B144,DATABASE!A:A,"&gt;01/06/2021",DATABASE!A:A,"&lt;01/09/2021")&gt;=1,"Đã bảo trì","")</f>
        <v/>
      </c>
      <c r="F144" s="14">
        <f>countifs(DATABASE!E:E,B144)</f>
        <v>0</v>
      </c>
    </row>
    <row r="145">
      <c r="A145" s="15">
        <v>142.0</v>
      </c>
      <c r="B145" s="41" t="s">
        <v>926</v>
      </c>
      <c r="C145" s="40" t="s">
        <v>927</v>
      </c>
      <c r="D145" s="14" t="str">
        <f>if(countifs(DATABASE!I:I,"Bảo trì",DATABASE!E:E,B145,DATABASE!A:A,"&gt;01/03/2021",DATABASE!A:A,"&lt;01/06/2021")&gt;=1,"Đã bảo trì","")</f>
        <v>Đã bảo trì</v>
      </c>
      <c r="E145" s="14" t="str">
        <f>if(countifs(DATABASE!I:I,"Bảo trì",DATABASE!E:E,B145,DATABASE!A:A,"&gt;01/06/2021",DATABASE!A:A,"&lt;01/09/2021")&gt;=1,"Đã bảo trì","")</f>
        <v/>
      </c>
      <c r="F145" s="14">
        <f>countifs(DATABASE!E:E,B145)</f>
        <v>1</v>
      </c>
    </row>
    <row r="146">
      <c r="A146" s="19">
        <v>143.0</v>
      </c>
      <c r="B146" s="41" t="s">
        <v>928</v>
      </c>
      <c r="C146" s="40" t="s">
        <v>929</v>
      </c>
      <c r="D146" s="14" t="str">
        <f>if(countifs(DATABASE!I:I,"Bảo trì",DATABASE!E:E,B146,DATABASE!A:A,"&gt;01/03/2021",DATABASE!A:A,"&lt;01/06/2021")&gt;=1,"Đã bảo trì","")</f>
        <v/>
      </c>
      <c r="E146" s="14" t="str">
        <f>if(countifs(DATABASE!I:I,"Bảo trì",DATABASE!E:E,B146,DATABASE!A:A,"&gt;01/06/2021",DATABASE!A:A,"&lt;01/09/2021")&gt;=1,"Đã bảo trì","")</f>
        <v/>
      </c>
      <c r="F146" s="14">
        <f>countifs(DATABASE!E:E,B146)</f>
        <v>0</v>
      </c>
    </row>
    <row r="147">
      <c r="A147" s="19">
        <v>144.0</v>
      </c>
      <c r="B147" s="41" t="s">
        <v>930</v>
      </c>
      <c r="C147" s="40" t="s">
        <v>931</v>
      </c>
      <c r="D147" s="14" t="str">
        <f>if(countifs(DATABASE!I:I,"Bảo trì",DATABASE!E:E,B147,DATABASE!A:A,"&gt;01/03/2021",DATABASE!A:A,"&lt;01/06/2021")&gt;=1,"Đã bảo trì","")</f>
        <v/>
      </c>
      <c r="E147" s="14" t="str">
        <f>if(countifs(DATABASE!I:I,"Bảo trì",DATABASE!E:E,B147,DATABASE!A:A,"&gt;01/06/2021",DATABASE!A:A,"&lt;01/09/2021")&gt;=1,"Đã bảo trì","")</f>
        <v/>
      </c>
      <c r="F147" s="14">
        <f>countifs(DATABASE!E:E,B147)</f>
        <v>0</v>
      </c>
    </row>
    <row r="148">
      <c r="A148" s="15">
        <v>145.0</v>
      </c>
      <c r="B148" s="41" t="s">
        <v>932</v>
      </c>
      <c r="C148" s="40" t="s">
        <v>933</v>
      </c>
      <c r="D148" s="14" t="str">
        <f>if(countifs(DATABASE!I:I,"Bảo trì",DATABASE!E:E,B148,DATABASE!A:A,"&gt;01/03/2021",DATABASE!A:A,"&lt;01/06/2021")&gt;=1,"Đã bảo trì","")</f>
        <v/>
      </c>
      <c r="E148" s="14" t="str">
        <f>if(countifs(DATABASE!I:I,"Bảo trì",DATABASE!E:E,B148,DATABASE!A:A,"&gt;01/06/2021",DATABASE!A:A,"&lt;01/09/2021")&gt;=1,"Đã bảo trì","")</f>
        <v/>
      </c>
      <c r="F148" s="14">
        <f>countifs(DATABASE!E:E,B148)</f>
        <v>0</v>
      </c>
    </row>
    <row r="149">
      <c r="A149" s="19">
        <v>146.0</v>
      </c>
      <c r="B149" s="41" t="s">
        <v>934</v>
      </c>
      <c r="C149" s="40" t="s">
        <v>935</v>
      </c>
      <c r="D149" s="14" t="str">
        <f>if(countifs(DATABASE!I:I,"Bảo trì",DATABASE!E:E,B149,DATABASE!A:A,"&gt;01/03/2021",DATABASE!A:A,"&lt;01/06/2021")&gt;=1,"Đã bảo trì","")</f>
        <v/>
      </c>
      <c r="E149" s="14" t="str">
        <f>if(countifs(DATABASE!I:I,"Bảo trì",DATABASE!E:E,B149,DATABASE!A:A,"&gt;01/06/2021",DATABASE!A:A,"&lt;01/09/2021")&gt;=1,"Đã bảo trì","")</f>
        <v/>
      </c>
      <c r="F149" s="14">
        <f>countifs(DATABASE!E:E,B149)</f>
        <v>0</v>
      </c>
    </row>
    <row r="150">
      <c r="A150" s="19">
        <v>147.0</v>
      </c>
      <c r="B150" s="41" t="s">
        <v>936</v>
      </c>
      <c r="C150" s="40" t="s">
        <v>937</v>
      </c>
      <c r="D150" s="14" t="str">
        <f>if(countifs(DATABASE!I:I,"Bảo trì",DATABASE!E:E,B150,DATABASE!A:A,"&gt;01/03/2021",DATABASE!A:A,"&lt;01/06/2021")&gt;=1,"Đã bảo trì","")</f>
        <v/>
      </c>
      <c r="E150" s="14" t="str">
        <f>if(countifs(DATABASE!I:I,"Bảo trì",DATABASE!E:E,B150,DATABASE!A:A,"&gt;01/06/2021",DATABASE!A:A,"&lt;01/09/2021")&gt;=1,"Đã bảo trì","")</f>
        <v/>
      </c>
      <c r="F150" s="14">
        <f>countifs(DATABASE!E:E,B150)</f>
        <v>0</v>
      </c>
    </row>
    <row r="151">
      <c r="A151" s="15">
        <v>148.0</v>
      </c>
      <c r="B151" s="41" t="s">
        <v>938</v>
      </c>
      <c r="C151" s="40" t="s">
        <v>939</v>
      </c>
      <c r="D151" s="14" t="str">
        <f>if(countifs(DATABASE!I:I,"Bảo trì",DATABASE!E:E,B151,DATABASE!A:A,"&gt;01/03/2021",DATABASE!A:A,"&lt;01/06/2021")&gt;=1,"Đã bảo trì","")</f>
        <v/>
      </c>
      <c r="E151" s="14" t="str">
        <f>if(countifs(DATABASE!I:I,"Bảo trì",DATABASE!E:E,B151,DATABASE!A:A,"&gt;01/06/2021",DATABASE!A:A,"&lt;01/09/2021")&gt;=1,"Đã bảo trì","")</f>
        <v/>
      </c>
      <c r="F151" s="14">
        <f>countifs(DATABASE!E:E,B151)</f>
        <v>0</v>
      </c>
    </row>
    <row r="152">
      <c r="A152" s="19">
        <v>149.0</v>
      </c>
      <c r="B152" s="41" t="s">
        <v>940</v>
      </c>
      <c r="C152" s="40" t="s">
        <v>941</v>
      </c>
      <c r="D152" s="14" t="str">
        <f>if(countifs(DATABASE!I:I,"Bảo trì",DATABASE!E:E,B152,DATABASE!A:A,"&gt;01/03/2021",DATABASE!A:A,"&lt;01/06/2021")&gt;=1,"Đã bảo trì","")</f>
        <v/>
      </c>
      <c r="E152" s="14" t="str">
        <f>if(countifs(DATABASE!I:I,"Bảo trì",DATABASE!E:E,B152,DATABASE!A:A,"&gt;01/06/2021",DATABASE!A:A,"&lt;01/09/2021")&gt;=1,"Đã bảo trì","")</f>
        <v/>
      </c>
      <c r="F152" s="14">
        <f>countifs(DATABASE!E:E,B152)</f>
        <v>0</v>
      </c>
    </row>
    <row r="153">
      <c r="A153" s="19">
        <v>150.0</v>
      </c>
      <c r="B153" s="41" t="s">
        <v>942</v>
      </c>
      <c r="C153" s="40" t="s">
        <v>943</v>
      </c>
      <c r="D153" s="14" t="str">
        <f>if(countifs(DATABASE!I:I,"Bảo trì",DATABASE!E:E,B153,DATABASE!A:A,"&gt;01/03/2021",DATABASE!A:A,"&lt;01/06/2021")&gt;=1,"Đã bảo trì","")</f>
        <v/>
      </c>
      <c r="E153" s="14" t="str">
        <f>if(countifs(DATABASE!I:I,"Bảo trì",DATABASE!E:E,B153,DATABASE!A:A,"&gt;01/06/2021",DATABASE!A:A,"&lt;01/09/2021")&gt;=1,"Đã bảo trì","")</f>
        <v/>
      </c>
      <c r="F153" s="14">
        <f>countifs(DATABASE!E:E,B153)</f>
        <v>0</v>
      </c>
    </row>
    <row r="154">
      <c r="A154" s="15">
        <v>151.0</v>
      </c>
      <c r="B154" s="41" t="s">
        <v>944</v>
      </c>
      <c r="C154" s="40" t="s">
        <v>945</v>
      </c>
      <c r="D154" s="14" t="str">
        <f>if(countifs(DATABASE!I:I,"Bảo trì",DATABASE!E:E,B154,DATABASE!A:A,"&gt;01/03/2021",DATABASE!A:A,"&lt;01/06/2021")&gt;=1,"Đã bảo trì","")</f>
        <v/>
      </c>
      <c r="E154" s="14" t="str">
        <f>if(countifs(DATABASE!I:I,"Bảo trì",DATABASE!E:E,B154,DATABASE!A:A,"&gt;01/06/2021",DATABASE!A:A,"&lt;01/09/2021")&gt;=1,"Đã bảo trì","")</f>
        <v/>
      </c>
      <c r="F154" s="14">
        <f>countifs(DATABASE!E:E,B154)</f>
        <v>0</v>
      </c>
    </row>
    <row r="155">
      <c r="A155" s="19">
        <v>152.0</v>
      </c>
      <c r="B155" s="41" t="s">
        <v>946</v>
      </c>
      <c r="C155" s="40" t="s">
        <v>947</v>
      </c>
      <c r="D155" s="14" t="str">
        <f>if(countifs(DATABASE!I:I,"Bảo trì",DATABASE!E:E,B155,DATABASE!A:A,"&gt;01/03/2021",DATABASE!A:A,"&lt;01/06/2021")&gt;=1,"Đã bảo trì","")</f>
        <v/>
      </c>
      <c r="E155" s="14" t="str">
        <f>if(countifs(DATABASE!I:I,"Bảo trì",DATABASE!E:E,B155,DATABASE!A:A,"&gt;01/06/2021",DATABASE!A:A,"&lt;01/09/2021")&gt;=1,"Đã bảo trì","")</f>
        <v/>
      </c>
      <c r="F155" s="14">
        <f>countifs(DATABASE!E:E,B155)</f>
        <v>0</v>
      </c>
    </row>
    <row r="156">
      <c r="A156" s="19">
        <v>153.0</v>
      </c>
      <c r="B156" s="41" t="s">
        <v>948</v>
      </c>
      <c r="C156" s="40" t="s">
        <v>949</v>
      </c>
      <c r="D156" s="14" t="str">
        <f>if(countifs(DATABASE!I:I,"Bảo trì",DATABASE!E:E,B156,DATABASE!A:A,"&gt;01/03/2021",DATABASE!A:A,"&lt;01/06/2021")&gt;=1,"Đã bảo trì","")</f>
        <v>Đã bảo trì</v>
      </c>
      <c r="E156" s="14" t="str">
        <f>if(countifs(DATABASE!I:I,"Bảo trì",DATABASE!E:E,B156,DATABASE!A:A,"&gt;01/06/2021",DATABASE!A:A,"&lt;01/09/2021")&gt;=1,"Đã bảo trì","")</f>
        <v/>
      </c>
      <c r="F156" s="14">
        <f>countifs(DATABASE!E:E,B156)</f>
        <v>2</v>
      </c>
    </row>
    <row r="157">
      <c r="A157" s="15">
        <v>154.0</v>
      </c>
      <c r="B157" s="41" t="s">
        <v>950</v>
      </c>
      <c r="C157" s="43" t="s">
        <v>951</v>
      </c>
      <c r="D157" s="14" t="str">
        <f>if(countifs(DATABASE!I:I,"Bảo trì",DATABASE!E:E,B157,DATABASE!A:A,"&gt;01/03/2021",DATABASE!A:A,"&lt;01/06/2021")&gt;=1,"Đã bảo trì","")</f>
        <v/>
      </c>
      <c r="E157" s="14" t="str">
        <f>if(countifs(DATABASE!I:I,"Bảo trì",DATABASE!E:E,B157,DATABASE!A:A,"&gt;01/06/2021",DATABASE!A:A,"&lt;01/09/2021")&gt;=1,"Đã bảo trì","")</f>
        <v/>
      </c>
      <c r="F157" s="14">
        <f>countifs(DATABASE!E:E,B157)</f>
        <v>0</v>
      </c>
    </row>
    <row r="158">
      <c r="A158" s="19">
        <v>155.0</v>
      </c>
      <c r="B158" s="41" t="s">
        <v>952</v>
      </c>
      <c r="C158" s="43" t="s">
        <v>953</v>
      </c>
      <c r="D158" s="14" t="str">
        <f>if(countifs(DATABASE!I:I,"Bảo trì",DATABASE!E:E,B158,DATABASE!A:A,"&gt;01/03/2021",DATABASE!A:A,"&lt;01/06/2021")&gt;=1,"Đã bảo trì","")</f>
        <v/>
      </c>
      <c r="E158" s="14" t="str">
        <f>if(countifs(DATABASE!I:I,"Bảo trì",DATABASE!E:E,B158,DATABASE!A:A,"&gt;01/06/2021",DATABASE!A:A,"&lt;01/09/2021")&gt;=1,"Đã bảo trì","")</f>
        <v/>
      </c>
      <c r="F158" s="14">
        <f>countifs(DATABASE!E:E,B158)</f>
        <v>0</v>
      </c>
    </row>
    <row r="159">
      <c r="A159" s="19">
        <v>156.0</v>
      </c>
      <c r="B159" s="41" t="s">
        <v>954</v>
      </c>
      <c r="C159" s="43" t="s">
        <v>955</v>
      </c>
      <c r="D159" s="14" t="str">
        <f>if(countifs(DATABASE!I:I,"Bảo trì",DATABASE!E:E,B159,DATABASE!A:A,"&gt;01/03/2021",DATABASE!A:A,"&lt;01/06/2021")&gt;=1,"Đã bảo trì","")</f>
        <v/>
      </c>
      <c r="E159" s="14" t="str">
        <f>if(countifs(DATABASE!I:I,"Bảo trì",DATABASE!E:E,B159,DATABASE!A:A,"&gt;01/06/2021",DATABASE!A:A,"&lt;01/09/2021")&gt;=1,"Đã bảo trì","")</f>
        <v/>
      </c>
      <c r="F159" s="14">
        <f>countifs(DATABASE!E:E,B159)</f>
        <v>1</v>
      </c>
    </row>
    <row r="160">
      <c r="A160" s="15">
        <v>157.0</v>
      </c>
      <c r="B160" s="41" t="s">
        <v>956</v>
      </c>
      <c r="C160" s="43" t="s">
        <v>957</v>
      </c>
      <c r="D160" s="14" t="str">
        <f>if(countifs(DATABASE!I:I,"Bảo trì",DATABASE!E:E,B160,DATABASE!A:A,"&gt;01/03/2021",DATABASE!A:A,"&lt;01/06/2021")&gt;=1,"Đã bảo trì","")</f>
        <v/>
      </c>
      <c r="E160" s="14" t="str">
        <f>if(countifs(DATABASE!I:I,"Bảo trì",DATABASE!E:E,B160,DATABASE!A:A,"&gt;01/06/2021",DATABASE!A:A,"&lt;01/09/2021")&gt;=1,"Đã bảo trì","")</f>
        <v/>
      </c>
      <c r="F160" s="14">
        <f>countifs(DATABASE!E:E,B160)</f>
        <v>0</v>
      </c>
    </row>
    <row r="161">
      <c r="A161" s="19">
        <v>158.0</v>
      </c>
      <c r="B161" s="41" t="s">
        <v>958</v>
      </c>
      <c r="C161" s="43" t="s">
        <v>959</v>
      </c>
      <c r="D161" s="14" t="str">
        <f>if(countifs(DATABASE!I:I,"Bảo trì",DATABASE!E:E,B161,DATABASE!A:A,"&gt;01/03/2021",DATABASE!A:A,"&lt;01/06/2021")&gt;=1,"Đã bảo trì","")</f>
        <v/>
      </c>
      <c r="E161" s="14" t="str">
        <f>if(countifs(DATABASE!I:I,"Bảo trì",DATABASE!E:E,B161,DATABASE!A:A,"&gt;01/06/2021",DATABASE!A:A,"&lt;01/09/2021")&gt;=1,"Đã bảo trì","")</f>
        <v/>
      </c>
      <c r="F161" s="14">
        <f>countifs(DATABASE!E:E,B161)</f>
        <v>0</v>
      </c>
    </row>
    <row r="162">
      <c r="A162" s="19">
        <v>159.0</v>
      </c>
      <c r="B162" s="41" t="s">
        <v>960</v>
      </c>
      <c r="C162" s="40" t="s">
        <v>961</v>
      </c>
      <c r="D162" s="14" t="str">
        <f>if(countifs(DATABASE!I:I,"Bảo trì",DATABASE!E:E,B162,DATABASE!A:A,"&gt;01/03/2021",DATABASE!A:A,"&lt;01/06/2021")&gt;=1,"Đã bảo trì","")</f>
        <v/>
      </c>
      <c r="E162" s="14" t="str">
        <f>if(countifs(DATABASE!I:I,"Bảo trì",DATABASE!E:E,B162,DATABASE!A:A,"&gt;01/06/2021",DATABASE!A:A,"&lt;01/09/2021")&gt;=1,"Đã bảo trì","")</f>
        <v/>
      </c>
      <c r="F162" s="14">
        <f>countifs(DATABASE!E:E,B162)</f>
        <v>0</v>
      </c>
    </row>
    <row r="163">
      <c r="A163" s="15">
        <v>160.0</v>
      </c>
      <c r="B163" s="41" t="s">
        <v>962</v>
      </c>
      <c r="C163" s="40" t="s">
        <v>963</v>
      </c>
      <c r="D163" s="14" t="str">
        <f>if(countifs(DATABASE!I:I,"Bảo trì",DATABASE!E:E,B163,DATABASE!A:A,"&gt;01/03/2021",DATABASE!A:A,"&lt;01/06/2021")&gt;=1,"Đã bảo trì","")</f>
        <v/>
      </c>
      <c r="E163" s="14" t="str">
        <f>if(countifs(DATABASE!I:I,"Bảo trì",DATABASE!E:E,B163,DATABASE!A:A,"&gt;01/06/2021",DATABASE!A:A,"&lt;01/09/2021")&gt;=1,"Đã bảo trì","")</f>
        <v/>
      </c>
      <c r="F163" s="14">
        <f>countifs(DATABASE!E:E,B163)</f>
        <v>0</v>
      </c>
    </row>
    <row r="164">
      <c r="A164" s="19">
        <v>161.0</v>
      </c>
      <c r="B164" s="41" t="s">
        <v>964</v>
      </c>
      <c r="C164" s="40" t="s">
        <v>965</v>
      </c>
      <c r="D164" s="14" t="str">
        <f>if(countifs(DATABASE!I:I,"Bảo trì",DATABASE!E:E,B164,DATABASE!A:A,"&gt;01/03/2021",DATABASE!A:A,"&lt;01/06/2021")&gt;=1,"Đã bảo trì","")</f>
        <v/>
      </c>
      <c r="E164" s="14" t="str">
        <f>if(countifs(DATABASE!I:I,"Bảo trì",DATABASE!E:E,B164,DATABASE!A:A,"&gt;01/06/2021",DATABASE!A:A,"&lt;01/09/2021")&gt;=1,"Đã bảo trì","")</f>
        <v/>
      </c>
      <c r="F164" s="14">
        <f>countifs(DATABASE!E:E,B164)</f>
        <v>1</v>
      </c>
    </row>
    <row r="165">
      <c r="A165" s="19">
        <v>162.0</v>
      </c>
      <c r="B165" s="41" t="s">
        <v>966</v>
      </c>
      <c r="C165" s="40" t="s">
        <v>967</v>
      </c>
      <c r="D165" s="14" t="str">
        <f>if(countifs(DATABASE!I:I,"Bảo trì",DATABASE!E:E,B165,DATABASE!A:A,"&gt;01/03/2021",DATABASE!A:A,"&lt;01/06/2021")&gt;=1,"Đã bảo trì","")</f>
        <v/>
      </c>
      <c r="E165" s="14" t="str">
        <f>if(countifs(DATABASE!I:I,"Bảo trì",DATABASE!E:E,B165,DATABASE!A:A,"&gt;01/06/2021",DATABASE!A:A,"&lt;01/09/2021")&gt;=1,"Đã bảo trì","")</f>
        <v/>
      </c>
      <c r="F165" s="14">
        <f>countifs(DATABASE!E:E,B165)</f>
        <v>0</v>
      </c>
    </row>
    <row r="166">
      <c r="A166" s="15">
        <v>163.0</v>
      </c>
      <c r="B166" s="41" t="s">
        <v>968</v>
      </c>
      <c r="C166" s="40" t="s">
        <v>969</v>
      </c>
      <c r="D166" s="14" t="str">
        <f>if(countifs(DATABASE!I:I,"Bảo trì",DATABASE!E:E,B166,DATABASE!A:A,"&gt;01/03/2021",DATABASE!A:A,"&lt;01/06/2021")&gt;=1,"Đã bảo trì","")</f>
        <v/>
      </c>
      <c r="E166" s="14" t="str">
        <f>if(countifs(DATABASE!I:I,"Bảo trì",DATABASE!E:E,B166,DATABASE!A:A,"&gt;01/06/2021",DATABASE!A:A,"&lt;01/09/2021")&gt;=1,"Đã bảo trì","")</f>
        <v/>
      </c>
      <c r="F166" s="14">
        <f>countifs(DATABASE!E:E,B166)</f>
        <v>0</v>
      </c>
    </row>
    <row r="167">
      <c r="A167" s="19">
        <v>164.0</v>
      </c>
      <c r="B167" s="41" t="s">
        <v>970</v>
      </c>
      <c r="C167" s="40" t="s">
        <v>971</v>
      </c>
      <c r="D167" s="14" t="str">
        <f>if(countifs(DATABASE!I:I,"Bảo trì",DATABASE!E:E,B167,DATABASE!A:A,"&gt;01/03/2021",DATABASE!A:A,"&lt;01/06/2021")&gt;=1,"Đã bảo trì","")</f>
        <v/>
      </c>
      <c r="E167" s="14" t="str">
        <f>if(countifs(DATABASE!I:I,"Bảo trì",DATABASE!E:E,B167,DATABASE!A:A,"&gt;01/06/2021",DATABASE!A:A,"&lt;01/09/2021")&gt;=1,"Đã bảo trì","")</f>
        <v/>
      </c>
      <c r="F167" s="14">
        <f>countifs(DATABASE!E:E,B167)</f>
        <v>0</v>
      </c>
    </row>
    <row r="168">
      <c r="A168" s="19">
        <v>165.0</v>
      </c>
      <c r="B168" s="41" t="s">
        <v>972</v>
      </c>
      <c r="C168" s="40" t="s">
        <v>973</v>
      </c>
      <c r="D168" s="14" t="str">
        <f>if(countifs(DATABASE!I:I,"Bảo trì",DATABASE!E:E,B168,DATABASE!A:A,"&gt;01/03/2021",DATABASE!A:A,"&lt;01/06/2021")&gt;=1,"Đã bảo trì","")</f>
        <v/>
      </c>
      <c r="E168" s="14" t="str">
        <f>if(countifs(DATABASE!I:I,"Bảo trì",DATABASE!E:E,B168,DATABASE!A:A,"&gt;01/06/2021",DATABASE!A:A,"&lt;01/09/2021")&gt;=1,"Đã bảo trì","")</f>
        <v/>
      </c>
      <c r="F168" s="14">
        <f>countifs(DATABASE!E:E,B168)</f>
        <v>1</v>
      </c>
    </row>
    <row r="169">
      <c r="A169" s="15">
        <v>166.0</v>
      </c>
      <c r="B169" s="41" t="s">
        <v>974</v>
      </c>
      <c r="C169" s="40" t="s">
        <v>975</v>
      </c>
      <c r="D169" s="14" t="str">
        <f>if(countifs(DATABASE!I:I,"Bảo trì",DATABASE!E:E,B169,DATABASE!A:A,"&gt;01/03/2021",DATABASE!A:A,"&lt;01/06/2021")&gt;=1,"Đã bảo trì","")</f>
        <v>Đã bảo trì</v>
      </c>
      <c r="E169" s="14" t="str">
        <f>if(countifs(DATABASE!I:I,"Bảo trì",DATABASE!E:E,B169,DATABASE!A:A,"&gt;01/06/2021",DATABASE!A:A,"&lt;01/09/2021")&gt;=1,"Đã bảo trì","")</f>
        <v/>
      </c>
      <c r="F169" s="14">
        <f>countifs(DATABASE!E:E,B169)</f>
        <v>4</v>
      </c>
    </row>
    <row r="170">
      <c r="A170" s="19">
        <v>167.0</v>
      </c>
      <c r="B170" s="41" t="s">
        <v>976</v>
      </c>
      <c r="C170" s="40" t="s">
        <v>977</v>
      </c>
      <c r="D170" s="14" t="str">
        <f>if(countifs(DATABASE!I:I,"Bảo trì",DATABASE!E:E,B170,DATABASE!A:A,"&gt;01/03/2021",DATABASE!A:A,"&lt;01/06/2021")&gt;=1,"Đã bảo trì","")</f>
        <v/>
      </c>
      <c r="E170" s="14" t="str">
        <f>if(countifs(DATABASE!I:I,"Bảo trì",DATABASE!E:E,B170,DATABASE!A:A,"&gt;01/06/2021",DATABASE!A:A,"&lt;01/09/2021")&gt;=1,"Đã bảo trì","")</f>
        <v/>
      </c>
      <c r="F170" s="14">
        <f>countifs(DATABASE!E:E,B170)</f>
        <v>1</v>
      </c>
    </row>
    <row r="171">
      <c r="A171" s="19">
        <v>168.0</v>
      </c>
      <c r="B171" s="41" t="s">
        <v>978</v>
      </c>
      <c r="C171" s="40" t="s">
        <v>969</v>
      </c>
      <c r="D171" s="14" t="str">
        <f>if(countifs(DATABASE!I:I,"Bảo trì",DATABASE!E:E,B171,DATABASE!A:A,"&gt;01/03/2021",DATABASE!A:A,"&lt;01/06/2021")&gt;=1,"Đã bảo trì","")</f>
        <v/>
      </c>
      <c r="E171" s="14" t="str">
        <f>if(countifs(DATABASE!I:I,"Bảo trì",DATABASE!E:E,B171,DATABASE!A:A,"&gt;01/06/2021",DATABASE!A:A,"&lt;01/09/2021")&gt;=1,"Đã bảo trì","")</f>
        <v/>
      </c>
      <c r="F171" s="14">
        <f>countifs(DATABASE!E:E,B171)</f>
        <v>0</v>
      </c>
    </row>
    <row r="172">
      <c r="A172" s="15">
        <v>169.0</v>
      </c>
      <c r="B172" s="41" t="s">
        <v>979</v>
      </c>
      <c r="C172" s="40" t="s">
        <v>980</v>
      </c>
      <c r="D172" s="14" t="str">
        <f>if(countifs(DATABASE!I:I,"Bảo trì",DATABASE!E:E,B172,DATABASE!A:A,"&gt;01/03/2021",DATABASE!A:A,"&lt;01/06/2021")&gt;=1,"Đã bảo trì","")</f>
        <v>Đã bảo trì</v>
      </c>
      <c r="E172" s="14" t="str">
        <f>if(countifs(DATABASE!I:I,"Bảo trì",DATABASE!E:E,B172,DATABASE!A:A,"&gt;01/06/2021",DATABASE!A:A,"&lt;01/09/2021")&gt;=1,"Đã bảo trì","")</f>
        <v/>
      </c>
      <c r="F172" s="14">
        <f>countifs(DATABASE!E:E,B172)</f>
        <v>2</v>
      </c>
    </row>
    <row r="173">
      <c r="A173" s="19">
        <v>170.0</v>
      </c>
      <c r="B173" s="41" t="s">
        <v>981</v>
      </c>
      <c r="C173" s="40" t="s">
        <v>982</v>
      </c>
      <c r="D173" s="14" t="str">
        <f>if(countifs(DATABASE!I:I,"Bảo trì",DATABASE!E:E,B173,DATABASE!A:A,"&gt;01/03/2021",DATABASE!A:A,"&lt;01/06/2021")&gt;=1,"Đã bảo trì","")</f>
        <v/>
      </c>
      <c r="E173" s="14" t="str">
        <f>if(countifs(DATABASE!I:I,"Bảo trì",DATABASE!E:E,B173,DATABASE!A:A,"&gt;01/06/2021",DATABASE!A:A,"&lt;01/09/2021")&gt;=1,"Đã bảo trì","")</f>
        <v/>
      </c>
      <c r="F173" s="14">
        <f>countifs(DATABASE!E:E,B173)</f>
        <v>1</v>
      </c>
    </row>
    <row r="174">
      <c r="A174" s="19">
        <v>171.0</v>
      </c>
      <c r="B174" s="41" t="s">
        <v>983</v>
      </c>
      <c r="C174" s="40" t="s">
        <v>984</v>
      </c>
      <c r="D174" s="14" t="str">
        <f>if(countifs(DATABASE!I:I,"Bảo trì",DATABASE!E:E,B174,DATABASE!A:A,"&gt;01/03/2021",DATABASE!A:A,"&lt;01/06/2021")&gt;=1,"Đã bảo trì","")</f>
        <v>Đã bảo trì</v>
      </c>
      <c r="E174" s="14" t="str">
        <f>if(countifs(DATABASE!I:I,"Bảo trì",DATABASE!E:E,B174,DATABASE!A:A,"&gt;01/06/2021",DATABASE!A:A,"&lt;01/09/2021")&gt;=1,"Đã bảo trì","")</f>
        <v/>
      </c>
      <c r="F174" s="14">
        <f>countifs(DATABASE!E:E,B174)</f>
        <v>2</v>
      </c>
    </row>
    <row r="175">
      <c r="A175" s="15">
        <v>172.0</v>
      </c>
      <c r="B175" s="41" t="s">
        <v>985</v>
      </c>
      <c r="C175" s="40" t="s">
        <v>986</v>
      </c>
      <c r="D175" s="14" t="str">
        <f>if(countifs(DATABASE!I:I,"Bảo trì",DATABASE!E:E,B175,DATABASE!A:A,"&gt;01/03/2021",DATABASE!A:A,"&lt;01/06/2021")&gt;=1,"Đã bảo trì","")</f>
        <v/>
      </c>
      <c r="E175" s="14" t="str">
        <f>if(countifs(DATABASE!I:I,"Bảo trì",DATABASE!E:E,B175,DATABASE!A:A,"&gt;01/06/2021",DATABASE!A:A,"&lt;01/09/2021")&gt;=1,"Đã bảo trì","")</f>
        <v/>
      </c>
      <c r="F175" s="14">
        <f>countifs(DATABASE!E:E,B175)</f>
        <v>1</v>
      </c>
    </row>
    <row r="176">
      <c r="A176" s="19">
        <v>173.0</v>
      </c>
      <c r="B176" s="41" t="s">
        <v>987</v>
      </c>
      <c r="C176" s="40" t="s">
        <v>988</v>
      </c>
      <c r="D176" s="14" t="str">
        <f>if(countifs(DATABASE!I:I,"Bảo trì",DATABASE!E:E,B176,DATABASE!A:A,"&gt;01/03/2021",DATABASE!A:A,"&lt;01/06/2021")&gt;=1,"Đã bảo trì","")</f>
        <v/>
      </c>
      <c r="E176" s="14" t="str">
        <f>if(countifs(DATABASE!I:I,"Bảo trì",DATABASE!E:E,B176,DATABASE!A:A,"&gt;01/06/2021",DATABASE!A:A,"&lt;01/09/2021")&gt;=1,"Đã bảo trì","")</f>
        <v/>
      </c>
      <c r="F176" s="14">
        <f>countifs(DATABASE!E:E,B176)</f>
        <v>0</v>
      </c>
    </row>
    <row r="177">
      <c r="A177" s="19">
        <v>174.0</v>
      </c>
      <c r="B177" s="41" t="s">
        <v>989</v>
      </c>
      <c r="C177" s="40" t="s">
        <v>990</v>
      </c>
      <c r="D177" s="14" t="str">
        <f>if(countifs(DATABASE!I:I,"Bảo trì",DATABASE!E:E,B177,DATABASE!A:A,"&gt;01/03/2021",DATABASE!A:A,"&lt;01/06/2021")&gt;=1,"Đã bảo trì","")</f>
        <v/>
      </c>
      <c r="E177" s="14" t="str">
        <f>if(countifs(DATABASE!I:I,"Bảo trì",DATABASE!E:E,B177,DATABASE!A:A,"&gt;01/06/2021",DATABASE!A:A,"&lt;01/09/2021")&gt;=1,"Đã bảo trì","")</f>
        <v/>
      </c>
      <c r="F177" s="14">
        <f>countifs(DATABASE!E:E,B177)</f>
        <v>1</v>
      </c>
    </row>
    <row r="178">
      <c r="A178" s="15">
        <v>175.0</v>
      </c>
      <c r="B178" s="41" t="s">
        <v>991</v>
      </c>
      <c r="C178" s="40" t="s">
        <v>992</v>
      </c>
      <c r="D178" s="14" t="str">
        <f>if(countifs(DATABASE!I:I,"Bảo trì",DATABASE!E:E,B178,DATABASE!A:A,"&gt;01/03/2021",DATABASE!A:A,"&lt;01/06/2021")&gt;=1,"Đã bảo trì","")</f>
        <v/>
      </c>
      <c r="E178" s="14" t="str">
        <f>if(countifs(DATABASE!I:I,"Bảo trì",DATABASE!E:E,B178,DATABASE!A:A,"&gt;01/06/2021",DATABASE!A:A,"&lt;01/09/2021")&gt;=1,"Đã bảo trì","")</f>
        <v/>
      </c>
      <c r="F178" s="14">
        <f>countifs(DATABASE!E:E,B178)</f>
        <v>0</v>
      </c>
    </row>
    <row r="179">
      <c r="A179" s="19">
        <v>176.0</v>
      </c>
      <c r="B179" s="41" t="s">
        <v>993</v>
      </c>
      <c r="C179" s="40" t="s">
        <v>994</v>
      </c>
      <c r="D179" s="14" t="str">
        <f>if(countifs(DATABASE!I:I,"Bảo trì",DATABASE!E:E,B179,DATABASE!A:A,"&gt;01/03/2021",DATABASE!A:A,"&lt;01/06/2021")&gt;=1,"Đã bảo trì","")</f>
        <v/>
      </c>
      <c r="E179" s="14" t="str">
        <f>if(countifs(DATABASE!I:I,"Bảo trì",DATABASE!E:E,B179,DATABASE!A:A,"&gt;01/06/2021",DATABASE!A:A,"&lt;01/09/2021")&gt;=1,"Đã bảo trì","")</f>
        <v/>
      </c>
      <c r="F179" s="14">
        <f>countifs(DATABASE!E:E,B179)</f>
        <v>2</v>
      </c>
    </row>
    <row r="180">
      <c r="A180" s="19">
        <v>177.0</v>
      </c>
      <c r="B180" s="41" t="s">
        <v>995</v>
      </c>
      <c r="C180" s="40" t="s">
        <v>996</v>
      </c>
      <c r="D180" s="14" t="str">
        <f>if(countifs(DATABASE!I:I,"Bảo trì",DATABASE!E:E,B180,DATABASE!A:A,"&gt;01/03/2021",DATABASE!A:A,"&lt;01/06/2021")&gt;=1,"Đã bảo trì","")</f>
        <v>Đã bảo trì</v>
      </c>
      <c r="E180" s="14" t="str">
        <f>if(countifs(DATABASE!I:I,"Bảo trì",DATABASE!E:E,B180,DATABASE!A:A,"&gt;01/06/2021",DATABASE!A:A,"&lt;01/09/2021")&gt;=1,"Đã bảo trì","")</f>
        <v/>
      </c>
      <c r="F180" s="14">
        <f>countifs(DATABASE!E:E,B180)</f>
        <v>2</v>
      </c>
    </row>
    <row r="181">
      <c r="A181" s="15">
        <v>178.0</v>
      </c>
      <c r="B181" s="41" t="s">
        <v>997</v>
      </c>
      <c r="C181" s="40" t="s">
        <v>998</v>
      </c>
      <c r="D181" s="14" t="str">
        <f>if(countifs(DATABASE!I:I,"Bảo trì",DATABASE!E:E,B181,DATABASE!A:A,"&gt;01/03/2021",DATABASE!A:A,"&lt;01/06/2021")&gt;=1,"Đã bảo trì","")</f>
        <v>Đã bảo trì</v>
      </c>
      <c r="E181" s="14" t="str">
        <f>if(countifs(DATABASE!I:I,"Bảo trì",DATABASE!E:E,B181,DATABASE!A:A,"&gt;01/06/2021",DATABASE!A:A,"&lt;01/09/2021")&gt;=1,"Đã bảo trì","")</f>
        <v/>
      </c>
      <c r="F181" s="14">
        <f>countifs(DATABASE!E:E,B181)</f>
        <v>3</v>
      </c>
    </row>
    <row r="182">
      <c r="A182" s="19">
        <v>179.0</v>
      </c>
      <c r="B182" s="41" t="s">
        <v>999</v>
      </c>
      <c r="C182" s="40" t="s">
        <v>1000</v>
      </c>
      <c r="D182" s="14" t="str">
        <f>if(countifs(DATABASE!I:I,"Bảo trì",DATABASE!E:E,B182,DATABASE!A:A,"&gt;01/03/2021",DATABASE!A:A,"&lt;01/06/2021")&gt;=1,"Đã bảo trì","")</f>
        <v/>
      </c>
      <c r="E182" s="14" t="str">
        <f>if(countifs(DATABASE!I:I,"Bảo trì",DATABASE!E:E,B182,DATABASE!A:A,"&gt;01/06/2021",DATABASE!A:A,"&lt;01/09/2021")&gt;=1,"Đã bảo trì","")</f>
        <v/>
      </c>
      <c r="F182" s="14">
        <f>countifs(DATABASE!E:E,B182)</f>
        <v>2</v>
      </c>
    </row>
    <row r="183">
      <c r="A183" s="19">
        <v>180.0</v>
      </c>
      <c r="B183" s="41" t="s">
        <v>1001</v>
      </c>
      <c r="C183" s="40" t="s">
        <v>1002</v>
      </c>
      <c r="D183" s="14" t="str">
        <f>if(countifs(DATABASE!I:I,"Bảo trì",DATABASE!E:E,B183,DATABASE!A:A,"&gt;01/03/2021",DATABASE!A:A,"&lt;01/06/2021")&gt;=1,"Đã bảo trì","")</f>
        <v/>
      </c>
      <c r="E183" s="14" t="str">
        <f>if(countifs(DATABASE!I:I,"Bảo trì",DATABASE!E:E,B183,DATABASE!A:A,"&gt;01/06/2021",DATABASE!A:A,"&lt;01/09/2021")&gt;=1,"Đã bảo trì","")</f>
        <v/>
      </c>
      <c r="F183" s="14">
        <f>countifs(DATABASE!E:E,B183)</f>
        <v>2</v>
      </c>
    </row>
    <row r="184">
      <c r="A184" s="15">
        <v>181.0</v>
      </c>
      <c r="B184" s="41" t="s">
        <v>1003</v>
      </c>
      <c r="C184" s="43" t="s">
        <v>1004</v>
      </c>
      <c r="D184" s="14" t="str">
        <f>if(countifs(DATABASE!I:I,"Bảo trì",DATABASE!E:E,B184,DATABASE!A:A,"&gt;01/03/2021",DATABASE!A:A,"&lt;01/06/2021")&gt;=1,"Đã bảo trì","")</f>
        <v/>
      </c>
      <c r="E184" s="14" t="str">
        <f>if(countifs(DATABASE!I:I,"Bảo trì",DATABASE!E:E,B184,DATABASE!A:A,"&gt;01/06/2021",DATABASE!A:A,"&lt;01/09/2021")&gt;=1,"Đã bảo trì","")</f>
        <v/>
      </c>
      <c r="F184" s="14">
        <f>countifs(DATABASE!E:E,B184)</f>
        <v>4</v>
      </c>
    </row>
    <row r="185">
      <c r="A185" s="19">
        <v>182.0</v>
      </c>
      <c r="B185" s="41" t="s">
        <v>1005</v>
      </c>
      <c r="C185" s="40" t="s">
        <v>1006</v>
      </c>
      <c r="D185" s="14" t="str">
        <f>if(countifs(DATABASE!I:I,"Bảo trì",DATABASE!E:E,B185,DATABASE!A:A,"&gt;01/03/2021",DATABASE!A:A,"&lt;01/06/2021")&gt;=1,"Đã bảo trì","")</f>
        <v/>
      </c>
      <c r="E185" s="14" t="str">
        <f>if(countifs(DATABASE!I:I,"Bảo trì",DATABASE!E:E,B185,DATABASE!A:A,"&gt;01/06/2021",DATABASE!A:A,"&lt;01/09/2021")&gt;=1,"Đã bảo trì","")</f>
        <v/>
      </c>
      <c r="F185" s="14">
        <f>countifs(DATABASE!E:E,B185)</f>
        <v>0</v>
      </c>
    </row>
    <row r="186">
      <c r="A186" s="19">
        <v>183.0</v>
      </c>
      <c r="B186" s="41" t="s">
        <v>1007</v>
      </c>
      <c r="C186" s="40" t="s">
        <v>1006</v>
      </c>
      <c r="D186" s="14" t="str">
        <f>if(countifs(DATABASE!I:I,"Bảo trì",DATABASE!E:E,B186,DATABASE!A:A,"&gt;01/03/2021",DATABASE!A:A,"&lt;01/06/2021")&gt;=1,"Đã bảo trì","")</f>
        <v/>
      </c>
      <c r="E186" s="14" t="str">
        <f>if(countifs(DATABASE!I:I,"Bảo trì",DATABASE!E:E,B186,DATABASE!A:A,"&gt;01/06/2021",DATABASE!A:A,"&lt;01/09/2021")&gt;=1,"Đã bảo trì","")</f>
        <v/>
      </c>
      <c r="F186" s="14">
        <f>countifs(DATABASE!E:E,B186)</f>
        <v>2</v>
      </c>
    </row>
    <row r="187">
      <c r="A187" s="15">
        <v>184.0</v>
      </c>
      <c r="B187" s="41" t="s">
        <v>1008</v>
      </c>
      <c r="C187" s="40" t="s">
        <v>1006</v>
      </c>
      <c r="D187" s="14" t="str">
        <f>if(countifs(DATABASE!I:I,"Bảo trì",DATABASE!E:E,B187,DATABASE!A:A,"&gt;01/03/2021",DATABASE!A:A,"&lt;01/06/2021")&gt;=1,"Đã bảo trì","")</f>
        <v/>
      </c>
      <c r="E187" s="14" t="str">
        <f>if(countifs(DATABASE!I:I,"Bảo trì",DATABASE!E:E,B187,DATABASE!A:A,"&gt;01/06/2021",DATABASE!A:A,"&lt;01/09/2021")&gt;=1,"Đã bảo trì","")</f>
        <v/>
      </c>
      <c r="F187" s="14">
        <f>countifs(DATABASE!E:E,B187)</f>
        <v>2</v>
      </c>
    </row>
    <row r="188">
      <c r="A188" s="19">
        <v>185.0</v>
      </c>
      <c r="B188" s="41" t="s">
        <v>1009</v>
      </c>
      <c r="C188" s="40" t="s">
        <v>1010</v>
      </c>
      <c r="D188" s="14" t="str">
        <f>if(countifs(DATABASE!I:I,"Bảo trì",DATABASE!E:E,B188,DATABASE!A:A,"&gt;01/03/2021",DATABASE!A:A,"&lt;01/06/2021")&gt;=1,"Đã bảo trì","")</f>
        <v/>
      </c>
      <c r="E188" s="14" t="str">
        <f>if(countifs(DATABASE!I:I,"Bảo trì",DATABASE!E:E,B188,DATABASE!A:A,"&gt;01/06/2021",DATABASE!A:A,"&lt;01/09/2021")&gt;=1,"Đã bảo trì","")</f>
        <v/>
      </c>
      <c r="F188" s="14">
        <f>countifs(DATABASE!E:E,B188)</f>
        <v>0</v>
      </c>
    </row>
    <row r="189">
      <c r="A189" s="19">
        <v>186.0</v>
      </c>
      <c r="B189" s="41" t="s">
        <v>1011</v>
      </c>
      <c r="C189" s="40" t="s">
        <v>1012</v>
      </c>
      <c r="D189" s="14" t="str">
        <f>if(countifs(DATABASE!I:I,"Bảo trì",DATABASE!E:E,B189,DATABASE!A:A,"&gt;01/03/2021",DATABASE!A:A,"&lt;01/06/2021")&gt;=1,"Đã bảo trì","")</f>
        <v/>
      </c>
      <c r="E189" s="14" t="str">
        <f>if(countifs(DATABASE!I:I,"Bảo trì",DATABASE!E:E,B189,DATABASE!A:A,"&gt;01/06/2021",DATABASE!A:A,"&lt;01/09/2021")&gt;=1,"Đã bảo trì","")</f>
        <v/>
      </c>
      <c r="F189" s="14">
        <f>countifs(DATABASE!E:E,B189)</f>
        <v>2</v>
      </c>
    </row>
    <row r="190">
      <c r="A190" s="15">
        <v>187.0</v>
      </c>
      <c r="B190" s="41" t="s">
        <v>1013</v>
      </c>
      <c r="C190" s="40" t="s">
        <v>1014</v>
      </c>
      <c r="D190" s="14" t="str">
        <f>if(countifs(DATABASE!I:I,"Bảo trì",DATABASE!E:E,B190,DATABASE!A:A,"&gt;01/03/2021",DATABASE!A:A,"&lt;01/06/2021")&gt;=1,"Đã bảo trì","")</f>
        <v/>
      </c>
      <c r="E190" s="14" t="str">
        <f>if(countifs(DATABASE!I:I,"Bảo trì",DATABASE!E:E,B190,DATABASE!A:A,"&gt;01/06/2021",DATABASE!A:A,"&lt;01/09/2021")&gt;=1,"Đã bảo trì","")</f>
        <v/>
      </c>
      <c r="F190" s="14">
        <f>countifs(DATABASE!E:E,B190)</f>
        <v>0</v>
      </c>
    </row>
    <row r="191">
      <c r="A191" s="19">
        <v>188.0</v>
      </c>
      <c r="B191" s="41" t="s">
        <v>1015</v>
      </c>
      <c r="C191" s="40" t="s">
        <v>1016</v>
      </c>
      <c r="D191" s="14" t="str">
        <f>if(countifs(DATABASE!I:I,"Bảo trì",DATABASE!E:E,B191,DATABASE!A:A,"&gt;01/03/2021",DATABASE!A:A,"&lt;01/06/2021")&gt;=1,"Đã bảo trì","")</f>
        <v/>
      </c>
      <c r="E191" s="14" t="str">
        <f>if(countifs(DATABASE!I:I,"Bảo trì",DATABASE!E:E,B191,DATABASE!A:A,"&gt;01/06/2021",DATABASE!A:A,"&lt;01/09/2021")&gt;=1,"Đã bảo trì","")</f>
        <v/>
      </c>
      <c r="F191" s="14">
        <f>countifs(DATABASE!E:E,B191)</f>
        <v>0</v>
      </c>
    </row>
    <row r="192">
      <c r="A192" s="19">
        <v>189.0</v>
      </c>
      <c r="B192" s="41" t="s">
        <v>1017</v>
      </c>
      <c r="C192" s="40" t="s">
        <v>1018</v>
      </c>
      <c r="D192" s="14" t="str">
        <f>if(countifs(DATABASE!I:I,"Bảo trì",DATABASE!E:E,B192,DATABASE!A:A,"&gt;01/03/2021",DATABASE!A:A,"&lt;01/06/2021")&gt;=1,"Đã bảo trì","")</f>
        <v/>
      </c>
      <c r="E192" s="14" t="str">
        <f>if(countifs(DATABASE!I:I,"Bảo trì",DATABASE!E:E,B192,DATABASE!A:A,"&gt;01/06/2021",DATABASE!A:A,"&lt;01/09/2021")&gt;=1,"Đã bảo trì","")</f>
        <v/>
      </c>
      <c r="F192" s="14">
        <f>countifs(DATABASE!E:E,B192)</f>
        <v>0</v>
      </c>
    </row>
    <row r="193">
      <c r="A193" s="15">
        <v>190.0</v>
      </c>
      <c r="B193" s="41" t="s">
        <v>1019</v>
      </c>
      <c r="C193" s="40" t="s">
        <v>1020</v>
      </c>
      <c r="D193" s="14" t="str">
        <f>if(countifs(DATABASE!I:I,"Bảo trì",DATABASE!E:E,B193,DATABASE!A:A,"&gt;01/03/2021",DATABASE!A:A,"&lt;01/06/2021")&gt;=1,"Đã bảo trì","")</f>
        <v/>
      </c>
      <c r="E193" s="14" t="str">
        <f>if(countifs(DATABASE!I:I,"Bảo trì",DATABASE!E:E,B193,DATABASE!A:A,"&gt;01/06/2021",DATABASE!A:A,"&lt;01/09/2021")&gt;=1,"Đã bảo trì","")</f>
        <v/>
      </c>
      <c r="F193" s="14">
        <f>countifs(DATABASE!E:E,B193)</f>
        <v>1</v>
      </c>
    </row>
    <row r="194">
      <c r="A194" s="19">
        <v>191.0</v>
      </c>
      <c r="B194" s="41" t="s">
        <v>1021</v>
      </c>
      <c r="C194" s="40" t="s">
        <v>1022</v>
      </c>
      <c r="D194" s="14" t="str">
        <f>if(countifs(DATABASE!I:I,"Bảo trì",DATABASE!E:E,B194,DATABASE!A:A,"&gt;01/03/2021",DATABASE!A:A,"&lt;01/06/2021")&gt;=1,"Đã bảo trì","")</f>
        <v/>
      </c>
      <c r="E194" s="14" t="str">
        <f>if(countifs(DATABASE!I:I,"Bảo trì",DATABASE!E:E,B194,DATABASE!A:A,"&gt;01/06/2021",DATABASE!A:A,"&lt;01/09/2021")&gt;=1,"Đã bảo trì","")</f>
        <v/>
      </c>
      <c r="F194" s="14">
        <f>countifs(DATABASE!E:E,B194)</f>
        <v>1</v>
      </c>
    </row>
    <row r="195">
      <c r="A195" s="19">
        <v>192.0</v>
      </c>
      <c r="B195" s="41" t="s">
        <v>1023</v>
      </c>
      <c r="C195" s="40" t="s">
        <v>1024</v>
      </c>
      <c r="D195" s="14" t="str">
        <f>if(countifs(DATABASE!I:I,"Bảo trì",DATABASE!E:E,B195,DATABASE!A:A,"&gt;01/03/2021",DATABASE!A:A,"&lt;01/06/2021")&gt;=1,"Đã bảo trì","")</f>
        <v/>
      </c>
      <c r="E195" s="14" t="str">
        <f>if(countifs(DATABASE!I:I,"Bảo trì",DATABASE!E:E,B195,DATABASE!A:A,"&gt;01/06/2021",DATABASE!A:A,"&lt;01/09/2021")&gt;=1,"Đã bảo trì","")</f>
        <v/>
      </c>
      <c r="F195" s="14">
        <f>countifs(DATABASE!E:E,B195)</f>
        <v>0</v>
      </c>
    </row>
    <row r="196">
      <c r="A196" s="15">
        <v>193.0</v>
      </c>
      <c r="B196" s="41" t="s">
        <v>1025</v>
      </c>
      <c r="C196" s="40" t="s">
        <v>1026</v>
      </c>
      <c r="D196" s="14" t="str">
        <f>if(countifs(DATABASE!I:I,"Bảo trì",DATABASE!E:E,B196,DATABASE!A:A,"&gt;01/03/2021",DATABASE!A:A,"&lt;01/06/2021")&gt;=1,"Đã bảo trì","")</f>
        <v/>
      </c>
      <c r="E196" s="14" t="str">
        <f>if(countifs(DATABASE!I:I,"Bảo trì",DATABASE!E:E,B196,DATABASE!A:A,"&gt;01/06/2021",DATABASE!A:A,"&lt;01/09/2021")&gt;=1,"Đã bảo trì","")</f>
        <v/>
      </c>
      <c r="F196" s="14">
        <f>countifs(DATABASE!E:E,B196)</f>
        <v>0</v>
      </c>
    </row>
    <row r="197">
      <c r="A197" s="19">
        <v>194.0</v>
      </c>
      <c r="B197" s="41" t="s">
        <v>1027</v>
      </c>
      <c r="C197" s="40" t="s">
        <v>1028</v>
      </c>
      <c r="D197" s="14" t="str">
        <f>if(countifs(DATABASE!I:I,"Bảo trì",DATABASE!E:E,B197,DATABASE!A:A,"&gt;01/03/2021",DATABASE!A:A,"&lt;01/06/2021")&gt;=1,"Đã bảo trì","")</f>
        <v/>
      </c>
      <c r="E197" s="14" t="str">
        <f>if(countifs(DATABASE!I:I,"Bảo trì",DATABASE!E:E,B197,DATABASE!A:A,"&gt;01/06/2021",DATABASE!A:A,"&lt;01/09/2021")&gt;=1,"Đã bảo trì","")</f>
        <v/>
      </c>
      <c r="F197" s="14">
        <f>countifs(DATABASE!E:E,B197)</f>
        <v>0</v>
      </c>
    </row>
    <row r="198">
      <c r="A198" s="19">
        <v>195.0</v>
      </c>
      <c r="B198" s="41" t="s">
        <v>1029</v>
      </c>
      <c r="C198" s="40" t="s">
        <v>1030</v>
      </c>
      <c r="D198" s="14" t="str">
        <f>if(countifs(DATABASE!I:I,"Bảo trì",DATABASE!E:E,B198,DATABASE!A:A,"&gt;01/03/2021",DATABASE!A:A,"&lt;01/06/2021")&gt;=1,"Đã bảo trì","")</f>
        <v/>
      </c>
      <c r="E198" s="14" t="str">
        <f>if(countifs(DATABASE!I:I,"Bảo trì",DATABASE!E:E,B198,DATABASE!A:A,"&gt;01/06/2021",DATABASE!A:A,"&lt;01/09/2021")&gt;=1,"Đã bảo trì","")</f>
        <v/>
      </c>
      <c r="F198" s="14">
        <f>countifs(DATABASE!E:E,B198)</f>
        <v>0</v>
      </c>
    </row>
    <row r="199">
      <c r="A199" s="15">
        <v>196.0</v>
      </c>
      <c r="B199" s="41" t="s">
        <v>1031</v>
      </c>
      <c r="C199" s="40" t="s">
        <v>1032</v>
      </c>
      <c r="D199" s="14" t="str">
        <f>if(countifs(DATABASE!I:I,"Bảo trì",DATABASE!E:E,B199,DATABASE!A:A,"&gt;01/03/2021",DATABASE!A:A,"&lt;01/06/2021")&gt;=1,"Đã bảo trì","")</f>
        <v/>
      </c>
      <c r="E199" s="14" t="str">
        <f>if(countifs(DATABASE!I:I,"Bảo trì",DATABASE!E:E,B199,DATABASE!A:A,"&gt;01/06/2021",DATABASE!A:A,"&lt;01/09/2021")&gt;=1,"Đã bảo trì","")</f>
        <v/>
      </c>
      <c r="F199" s="14">
        <f>countifs(DATABASE!E:E,B199)</f>
        <v>0</v>
      </c>
    </row>
    <row r="200">
      <c r="A200" s="19">
        <v>197.0</v>
      </c>
      <c r="B200" s="41" t="s">
        <v>1033</v>
      </c>
      <c r="C200" s="40" t="s">
        <v>1034</v>
      </c>
      <c r="D200" s="14" t="str">
        <f>if(countifs(DATABASE!I:I,"Bảo trì",DATABASE!E:E,B200,DATABASE!A:A,"&gt;01/03/2021",DATABASE!A:A,"&lt;01/06/2021")&gt;=1,"Đã bảo trì","")</f>
        <v/>
      </c>
      <c r="E200" s="14" t="str">
        <f>if(countifs(DATABASE!I:I,"Bảo trì",DATABASE!E:E,B200,DATABASE!A:A,"&gt;01/06/2021",DATABASE!A:A,"&lt;01/09/2021")&gt;=1,"Đã bảo trì","")</f>
        <v/>
      </c>
      <c r="F200" s="14">
        <f>countifs(DATABASE!E:E,B200)</f>
        <v>0</v>
      </c>
    </row>
    <row r="201">
      <c r="A201" s="19">
        <v>198.0</v>
      </c>
      <c r="B201" s="41" t="s">
        <v>1035</v>
      </c>
      <c r="C201" s="40" t="s">
        <v>1036</v>
      </c>
      <c r="D201" s="14" t="str">
        <f>if(countifs(DATABASE!I:I,"Bảo trì",DATABASE!E:E,B201,DATABASE!A:A,"&gt;01/03/2021",DATABASE!A:A,"&lt;01/06/2021")&gt;=1,"Đã bảo trì","")</f>
        <v/>
      </c>
      <c r="E201" s="14" t="str">
        <f>if(countifs(DATABASE!I:I,"Bảo trì",DATABASE!E:E,B201,DATABASE!A:A,"&gt;01/06/2021",DATABASE!A:A,"&lt;01/09/2021")&gt;=1,"Đã bảo trì","")</f>
        <v/>
      </c>
      <c r="F201" s="14">
        <f>countifs(DATABASE!E:E,B201)</f>
        <v>0</v>
      </c>
    </row>
    <row r="202">
      <c r="A202" s="15">
        <v>199.0</v>
      </c>
      <c r="B202" s="41" t="s">
        <v>1037</v>
      </c>
      <c r="C202" s="40" t="s">
        <v>1038</v>
      </c>
      <c r="D202" s="14" t="str">
        <f>if(countifs(DATABASE!I:I,"Bảo trì",DATABASE!E:E,B202,DATABASE!A:A,"&gt;01/03/2021",DATABASE!A:A,"&lt;01/06/2021")&gt;=1,"Đã bảo trì","")</f>
        <v/>
      </c>
      <c r="E202" s="14" t="str">
        <f>if(countifs(DATABASE!I:I,"Bảo trì",DATABASE!E:E,B202,DATABASE!A:A,"&gt;01/06/2021",DATABASE!A:A,"&lt;01/09/2021")&gt;=1,"Đã bảo trì","")</f>
        <v/>
      </c>
      <c r="F202" s="14">
        <f>countifs(DATABASE!E:E,B202)</f>
        <v>0</v>
      </c>
    </row>
    <row r="203">
      <c r="A203" s="19">
        <v>200.0</v>
      </c>
      <c r="B203" s="41" t="s">
        <v>1039</v>
      </c>
      <c r="C203" s="40" t="s">
        <v>1040</v>
      </c>
      <c r="D203" s="14" t="str">
        <f>if(countifs(DATABASE!I:I,"Bảo trì",DATABASE!E:E,B203,DATABASE!A:A,"&gt;01/03/2021",DATABASE!A:A,"&lt;01/06/2021")&gt;=1,"Đã bảo trì","")</f>
        <v/>
      </c>
      <c r="E203" s="14" t="str">
        <f>if(countifs(DATABASE!I:I,"Bảo trì",DATABASE!E:E,B203,DATABASE!A:A,"&gt;01/06/2021",DATABASE!A:A,"&lt;01/09/2021")&gt;=1,"Đã bảo trì","")</f>
        <v/>
      </c>
      <c r="F203" s="14">
        <f>countifs(DATABASE!E:E,B203)</f>
        <v>0</v>
      </c>
    </row>
    <row r="204">
      <c r="A204" s="20"/>
      <c r="B204" s="20"/>
      <c r="C204" s="44"/>
    </row>
    <row r="205">
      <c r="A205" s="20"/>
      <c r="B205" s="20"/>
      <c r="C205" s="44"/>
    </row>
    <row r="206">
      <c r="A206" s="20"/>
      <c r="B206" s="20"/>
      <c r="C206" s="44"/>
    </row>
    <row r="207">
      <c r="A207" s="20"/>
      <c r="B207" s="20"/>
      <c r="C207" s="44"/>
    </row>
    <row r="208">
      <c r="A208" s="20"/>
      <c r="B208" s="20"/>
      <c r="C208" s="44"/>
    </row>
    <row r="209">
      <c r="A209" s="20"/>
      <c r="B209" s="20"/>
      <c r="C209" s="44"/>
    </row>
    <row r="210">
      <c r="A210" s="20"/>
      <c r="B210" s="20"/>
      <c r="C210" s="44"/>
    </row>
    <row r="211">
      <c r="A211" s="20"/>
      <c r="B211" s="20"/>
      <c r="C211" s="44"/>
    </row>
    <row r="212">
      <c r="A212" s="20"/>
      <c r="B212" s="20"/>
      <c r="C212" s="44"/>
    </row>
    <row r="213">
      <c r="A213" s="20"/>
      <c r="B213" s="20"/>
      <c r="C213" s="44"/>
    </row>
    <row r="214">
      <c r="A214" s="20"/>
      <c r="B214" s="20"/>
      <c r="C214" s="44"/>
    </row>
    <row r="215">
      <c r="A215" s="20"/>
      <c r="B215" s="20"/>
      <c r="C215" s="44"/>
    </row>
    <row r="216">
      <c r="A216" s="20"/>
      <c r="B216" s="20"/>
      <c r="C216" s="44"/>
    </row>
    <row r="217">
      <c r="A217" s="20"/>
      <c r="B217" s="20"/>
      <c r="C217" s="44"/>
    </row>
    <row r="218">
      <c r="A218" s="20"/>
      <c r="B218" s="20"/>
      <c r="C218" s="44"/>
    </row>
    <row r="219">
      <c r="A219" s="20"/>
      <c r="B219" s="20"/>
      <c r="C219" s="44"/>
    </row>
    <row r="220">
      <c r="A220" s="20"/>
      <c r="B220" s="20"/>
      <c r="C220" s="44"/>
    </row>
    <row r="221">
      <c r="A221" s="20"/>
      <c r="B221" s="20"/>
      <c r="C221" s="44"/>
    </row>
    <row r="222">
      <c r="A222" s="20"/>
      <c r="B222" s="20"/>
      <c r="C222" s="44"/>
    </row>
    <row r="223">
      <c r="A223" s="20"/>
      <c r="B223" s="20"/>
      <c r="C223" s="44"/>
    </row>
    <row r="224">
      <c r="A224" s="20"/>
      <c r="B224" s="20"/>
      <c r="C224" s="44"/>
    </row>
    <row r="225">
      <c r="A225" s="20"/>
      <c r="B225" s="20"/>
      <c r="C225" s="44"/>
    </row>
    <row r="226">
      <c r="A226" s="20"/>
      <c r="B226" s="20"/>
      <c r="C226" s="44"/>
    </row>
    <row r="227">
      <c r="A227" s="20"/>
      <c r="B227" s="20"/>
      <c r="C227" s="44"/>
    </row>
    <row r="228">
      <c r="A228" s="20"/>
      <c r="B228" s="20"/>
      <c r="C228" s="44"/>
    </row>
    <row r="229">
      <c r="A229" s="20"/>
      <c r="B229" s="20"/>
      <c r="C229" s="44"/>
    </row>
    <row r="230">
      <c r="A230" s="20"/>
      <c r="B230" s="20"/>
      <c r="C230" s="44"/>
    </row>
    <row r="231">
      <c r="A231" s="20"/>
      <c r="B231" s="20"/>
      <c r="C231" s="44"/>
    </row>
    <row r="232">
      <c r="A232" s="20"/>
      <c r="B232" s="20"/>
      <c r="C232" s="44"/>
    </row>
    <row r="233">
      <c r="A233" s="20"/>
      <c r="B233" s="20"/>
      <c r="C233" s="44"/>
    </row>
    <row r="234">
      <c r="A234" s="20"/>
      <c r="B234" s="20"/>
      <c r="C234" s="44"/>
    </row>
    <row r="235">
      <c r="A235" s="20"/>
      <c r="B235" s="20"/>
      <c r="C235" s="44"/>
    </row>
    <row r="236">
      <c r="A236" s="20"/>
      <c r="B236" s="20"/>
      <c r="C236" s="44"/>
    </row>
    <row r="237">
      <c r="A237" s="20"/>
      <c r="B237" s="20"/>
      <c r="C237" s="44"/>
    </row>
    <row r="238">
      <c r="A238" s="20"/>
      <c r="B238" s="20"/>
      <c r="C238" s="44"/>
    </row>
    <row r="239">
      <c r="A239" s="20"/>
      <c r="B239" s="20"/>
      <c r="C239" s="44"/>
    </row>
    <row r="240">
      <c r="A240" s="20"/>
      <c r="B240" s="20"/>
      <c r="C240" s="44"/>
    </row>
    <row r="241">
      <c r="A241" s="20"/>
      <c r="B241" s="20"/>
      <c r="C241" s="44"/>
    </row>
    <row r="242">
      <c r="A242" s="20"/>
      <c r="B242" s="20"/>
      <c r="C242" s="44"/>
    </row>
    <row r="243">
      <c r="A243" s="20"/>
      <c r="B243" s="20"/>
      <c r="C243" s="44"/>
    </row>
    <row r="244">
      <c r="A244" s="20"/>
      <c r="B244" s="20"/>
      <c r="C244" s="44"/>
    </row>
    <row r="245">
      <c r="A245" s="20"/>
      <c r="B245" s="20"/>
      <c r="C245" s="44"/>
    </row>
    <row r="246">
      <c r="A246" s="20"/>
      <c r="B246" s="20"/>
      <c r="C246" s="44"/>
    </row>
    <row r="247">
      <c r="A247" s="20"/>
      <c r="B247" s="20"/>
      <c r="C247" s="44"/>
    </row>
    <row r="248">
      <c r="A248" s="20"/>
      <c r="B248" s="20"/>
      <c r="C248" s="44"/>
    </row>
    <row r="249">
      <c r="A249" s="20"/>
      <c r="B249" s="20"/>
      <c r="C249" s="44"/>
    </row>
    <row r="250">
      <c r="A250" s="20"/>
      <c r="B250" s="20"/>
      <c r="C250" s="44"/>
    </row>
    <row r="251">
      <c r="A251" s="20"/>
      <c r="B251" s="20"/>
      <c r="C251" s="44"/>
    </row>
    <row r="252">
      <c r="A252" s="20"/>
      <c r="B252" s="20"/>
      <c r="C252" s="44"/>
    </row>
    <row r="253">
      <c r="A253" s="20"/>
      <c r="B253" s="20"/>
      <c r="C253" s="44"/>
    </row>
    <row r="254">
      <c r="A254" s="20"/>
      <c r="B254" s="20"/>
      <c r="C254" s="44"/>
    </row>
    <row r="255">
      <c r="A255" s="20"/>
      <c r="B255" s="20"/>
      <c r="C255" s="44"/>
    </row>
    <row r="256">
      <c r="A256" s="20"/>
      <c r="B256" s="20"/>
      <c r="C256" s="44"/>
    </row>
    <row r="257">
      <c r="A257" s="20"/>
      <c r="B257" s="20"/>
      <c r="C257" s="44"/>
    </row>
    <row r="258">
      <c r="A258" s="20"/>
      <c r="B258" s="20"/>
      <c r="C258" s="44"/>
    </row>
    <row r="259">
      <c r="A259" s="20"/>
      <c r="B259" s="20"/>
      <c r="C259" s="44"/>
    </row>
    <row r="260">
      <c r="A260" s="20"/>
      <c r="B260" s="20"/>
      <c r="C260" s="44"/>
    </row>
    <row r="261">
      <c r="A261" s="20"/>
      <c r="B261" s="20"/>
      <c r="C261" s="44"/>
    </row>
    <row r="262">
      <c r="A262" s="20"/>
      <c r="B262" s="20"/>
      <c r="C262" s="44"/>
    </row>
    <row r="263">
      <c r="A263" s="20"/>
      <c r="B263" s="20"/>
      <c r="C263" s="44"/>
    </row>
    <row r="264">
      <c r="A264" s="20"/>
      <c r="B264" s="20"/>
      <c r="C264" s="44"/>
    </row>
    <row r="265">
      <c r="A265" s="20"/>
      <c r="B265" s="20"/>
      <c r="C265" s="44"/>
    </row>
    <row r="266">
      <c r="A266" s="20"/>
      <c r="B266" s="20"/>
      <c r="C266" s="44"/>
    </row>
    <row r="267">
      <c r="A267" s="20"/>
      <c r="B267" s="20"/>
      <c r="C267" s="44"/>
    </row>
    <row r="268">
      <c r="A268" s="20"/>
      <c r="B268" s="20"/>
      <c r="C268" s="44"/>
    </row>
    <row r="269">
      <c r="A269" s="20"/>
      <c r="B269" s="20"/>
      <c r="C269" s="44"/>
    </row>
    <row r="270">
      <c r="A270" s="20"/>
      <c r="B270" s="20"/>
      <c r="C270" s="44"/>
    </row>
    <row r="271">
      <c r="A271" s="20"/>
      <c r="B271" s="20"/>
      <c r="C271" s="44"/>
    </row>
    <row r="272">
      <c r="A272" s="20"/>
      <c r="B272" s="20"/>
      <c r="C272" s="44"/>
    </row>
    <row r="273">
      <c r="A273" s="20"/>
      <c r="B273" s="20"/>
      <c r="C273" s="44"/>
    </row>
    <row r="274">
      <c r="A274" s="20"/>
      <c r="B274" s="20"/>
      <c r="C274" s="44"/>
    </row>
    <row r="275">
      <c r="A275" s="20"/>
      <c r="B275" s="20"/>
      <c r="C275" s="44"/>
    </row>
    <row r="276">
      <c r="A276" s="20"/>
      <c r="B276" s="20"/>
      <c r="C276" s="44"/>
    </row>
    <row r="277">
      <c r="A277" s="20"/>
      <c r="B277" s="20"/>
      <c r="C277" s="44"/>
    </row>
    <row r="278">
      <c r="A278" s="20"/>
      <c r="B278" s="20"/>
      <c r="C278" s="44"/>
    </row>
    <row r="279">
      <c r="A279" s="20"/>
      <c r="B279" s="20"/>
      <c r="C279" s="44"/>
    </row>
    <row r="280">
      <c r="A280" s="20"/>
      <c r="B280" s="20"/>
      <c r="C280" s="44"/>
    </row>
    <row r="281">
      <c r="A281" s="20"/>
      <c r="B281" s="20"/>
      <c r="C281" s="44"/>
    </row>
    <row r="282">
      <c r="A282" s="20"/>
      <c r="B282" s="20"/>
      <c r="C282" s="44"/>
    </row>
    <row r="283">
      <c r="A283" s="20"/>
      <c r="B283" s="20"/>
      <c r="C283" s="44"/>
    </row>
    <row r="284">
      <c r="A284" s="20"/>
      <c r="B284" s="20"/>
      <c r="C284" s="44"/>
    </row>
    <row r="285">
      <c r="A285" s="20"/>
      <c r="B285" s="20"/>
      <c r="C285" s="44"/>
    </row>
    <row r="286">
      <c r="A286" s="20"/>
      <c r="B286" s="20"/>
      <c r="C286" s="44"/>
    </row>
    <row r="287">
      <c r="A287" s="20"/>
      <c r="B287" s="20"/>
      <c r="C287" s="44"/>
    </row>
    <row r="288">
      <c r="A288" s="20"/>
      <c r="B288" s="20"/>
      <c r="C288" s="44"/>
    </row>
    <row r="289">
      <c r="A289" s="20"/>
      <c r="B289" s="20"/>
      <c r="C289" s="44"/>
    </row>
    <row r="290">
      <c r="A290" s="20"/>
      <c r="B290" s="20"/>
      <c r="C290" s="44"/>
    </row>
    <row r="291">
      <c r="A291" s="20"/>
      <c r="B291" s="20"/>
      <c r="C291" s="44"/>
    </row>
    <row r="292">
      <c r="A292" s="20"/>
      <c r="B292" s="20"/>
      <c r="C292" s="44"/>
    </row>
    <row r="293">
      <c r="A293" s="20"/>
      <c r="B293" s="20"/>
      <c r="C293" s="44"/>
    </row>
    <row r="294">
      <c r="A294" s="20"/>
      <c r="B294" s="20"/>
      <c r="C294" s="44"/>
    </row>
    <row r="295">
      <c r="A295" s="20"/>
      <c r="B295" s="20"/>
      <c r="C295" s="44"/>
    </row>
    <row r="296">
      <c r="A296" s="20"/>
      <c r="B296" s="20"/>
      <c r="C296" s="44"/>
    </row>
    <row r="297">
      <c r="A297" s="20"/>
      <c r="B297" s="20"/>
      <c r="C297" s="44"/>
    </row>
    <row r="298">
      <c r="A298" s="20"/>
      <c r="B298" s="20"/>
      <c r="C298" s="44"/>
    </row>
    <row r="299">
      <c r="A299" s="20"/>
      <c r="B299" s="20"/>
      <c r="C299" s="44"/>
    </row>
    <row r="300">
      <c r="A300" s="20"/>
      <c r="B300" s="20"/>
      <c r="C300" s="44"/>
    </row>
    <row r="301">
      <c r="A301" s="20"/>
      <c r="B301" s="20"/>
      <c r="C301" s="44"/>
    </row>
    <row r="302">
      <c r="A302" s="20"/>
      <c r="B302" s="20"/>
      <c r="C302" s="44"/>
    </row>
    <row r="303">
      <c r="A303" s="20"/>
      <c r="B303" s="20"/>
      <c r="C303" s="44"/>
    </row>
    <row r="304">
      <c r="A304" s="20"/>
      <c r="B304" s="20"/>
      <c r="C304" s="44"/>
    </row>
    <row r="305">
      <c r="A305" s="20"/>
      <c r="B305" s="20"/>
      <c r="C305" s="44"/>
    </row>
    <row r="306">
      <c r="A306" s="20"/>
      <c r="B306" s="20"/>
      <c r="C306" s="44"/>
    </row>
    <row r="307">
      <c r="A307" s="20"/>
      <c r="B307" s="20"/>
      <c r="C307" s="44"/>
    </row>
    <row r="308">
      <c r="A308" s="20"/>
      <c r="B308" s="20"/>
      <c r="C308" s="44"/>
    </row>
    <row r="309">
      <c r="A309" s="20"/>
      <c r="B309" s="20"/>
      <c r="C309" s="44"/>
    </row>
    <row r="310">
      <c r="A310" s="20"/>
      <c r="B310" s="20"/>
      <c r="C310" s="44"/>
    </row>
    <row r="311">
      <c r="A311" s="20"/>
      <c r="B311" s="20"/>
      <c r="C311" s="44"/>
    </row>
    <row r="312">
      <c r="A312" s="20"/>
      <c r="B312" s="20"/>
      <c r="C312" s="44"/>
    </row>
    <row r="313">
      <c r="A313" s="20"/>
      <c r="B313" s="20"/>
      <c r="C313" s="44"/>
    </row>
    <row r="314">
      <c r="A314" s="20"/>
      <c r="B314" s="20"/>
      <c r="C314" s="44"/>
    </row>
    <row r="315">
      <c r="A315" s="20"/>
      <c r="B315" s="20"/>
      <c r="C315" s="44"/>
    </row>
    <row r="316">
      <c r="A316" s="20"/>
      <c r="B316" s="20"/>
      <c r="C316" s="44"/>
    </row>
    <row r="317">
      <c r="A317" s="20"/>
      <c r="B317" s="20"/>
      <c r="C317" s="44"/>
    </row>
    <row r="318">
      <c r="A318" s="20"/>
      <c r="B318" s="20"/>
      <c r="C318" s="44"/>
    </row>
    <row r="319">
      <c r="A319" s="20"/>
      <c r="B319" s="20"/>
      <c r="C319" s="44"/>
    </row>
    <row r="320">
      <c r="A320" s="20"/>
      <c r="B320" s="20"/>
      <c r="C320" s="44"/>
    </row>
    <row r="321">
      <c r="A321" s="20"/>
      <c r="B321" s="20"/>
      <c r="C321" s="44"/>
    </row>
    <row r="322">
      <c r="A322" s="20"/>
      <c r="B322" s="20"/>
      <c r="C322" s="44"/>
    </row>
    <row r="323">
      <c r="A323" s="20"/>
      <c r="B323" s="20"/>
      <c r="C323" s="44"/>
    </row>
    <row r="324">
      <c r="A324" s="20"/>
      <c r="B324" s="20"/>
      <c r="C324" s="44"/>
    </row>
    <row r="325">
      <c r="A325" s="20"/>
      <c r="B325" s="20"/>
      <c r="C325" s="44"/>
    </row>
    <row r="326">
      <c r="A326" s="20"/>
      <c r="B326" s="20"/>
      <c r="C326" s="44"/>
    </row>
    <row r="327">
      <c r="A327" s="20"/>
      <c r="B327" s="20"/>
      <c r="C327" s="44"/>
    </row>
    <row r="328">
      <c r="A328" s="20"/>
      <c r="B328" s="20"/>
      <c r="C328" s="44"/>
    </row>
    <row r="329">
      <c r="A329" s="20"/>
      <c r="B329" s="20"/>
      <c r="C329" s="44"/>
    </row>
    <row r="330">
      <c r="A330" s="20"/>
      <c r="B330" s="20"/>
      <c r="C330" s="44"/>
    </row>
    <row r="331">
      <c r="A331" s="20"/>
      <c r="B331" s="20"/>
      <c r="C331" s="44"/>
    </row>
    <row r="332">
      <c r="A332" s="20"/>
      <c r="B332" s="20"/>
      <c r="C332" s="44"/>
    </row>
    <row r="333">
      <c r="A333" s="20"/>
      <c r="B333" s="20"/>
      <c r="C333" s="44"/>
    </row>
    <row r="334">
      <c r="A334" s="20"/>
      <c r="B334" s="20"/>
      <c r="C334" s="44"/>
    </row>
    <row r="335">
      <c r="A335" s="20"/>
      <c r="B335" s="20"/>
      <c r="C335" s="44"/>
    </row>
    <row r="336">
      <c r="A336" s="20"/>
      <c r="B336" s="20"/>
      <c r="C336" s="44"/>
    </row>
    <row r="337">
      <c r="A337" s="20"/>
      <c r="B337" s="20"/>
      <c r="C337" s="44"/>
    </row>
    <row r="338">
      <c r="A338" s="20"/>
      <c r="B338" s="20"/>
      <c r="C338" s="44"/>
    </row>
    <row r="339">
      <c r="A339" s="20"/>
      <c r="B339" s="20"/>
      <c r="C339" s="44"/>
    </row>
    <row r="340">
      <c r="A340" s="20"/>
      <c r="B340" s="20"/>
      <c r="C340" s="44"/>
    </row>
    <row r="341">
      <c r="A341" s="20"/>
      <c r="B341" s="20"/>
      <c r="C341" s="44"/>
    </row>
    <row r="342">
      <c r="A342" s="20"/>
      <c r="B342" s="20"/>
      <c r="C342" s="44"/>
    </row>
    <row r="343">
      <c r="A343" s="20"/>
      <c r="B343" s="20"/>
      <c r="C343" s="44"/>
    </row>
    <row r="344">
      <c r="A344" s="20"/>
      <c r="B344" s="20"/>
      <c r="C344" s="44"/>
    </row>
    <row r="345">
      <c r="A345" s="20"/>
      <c r="B345" s="20"/>
      <c r="C345" s="44"/>
    </row>
    <row r="346">
      <c r="A346" s="20"/>
      <c r="B346" s="20"/>
      <c r="C346" s="44"/>
    </row>
    <row r="347">
      <c r="A347" s="20"/>
      <c r="B347" s="20"/>
      <c r="C347" s="44"/>
    </row>
    <row r="348">
      <c r="A348" s="20"/>
      <c r="B348" s="20"/>
      <c r="C348" s="44"/>
    </row>
    <row r="349">
      <c r="A349" s="20"/>
      <c r="B349" s="20"/>
      <c r="C349" s="44"/>
    </row>
    <row r="350">
      <c r="A350" s="20"/>
      <c r="B350" s="20"/>
      <c r="C350" s="44"/>
    </row>
    <row r="351">
      <c r="A351" s="20"/>
      <c r="B351" s="20"/>
      <c r="C351" s="44"/>
    </row>
    <row r="352">
      <c r="A352" s="20"/>
      <c r="B352" s="20"/>
      <c r="C352" s="44"/>
    </row>
    <row r="353">
      <c r="A353" s="20"/>
      <c r="B353" s="20"/>
      <c r="C353" s="44"/>
    </row>
    <row r="354">
      <c r="A354" s="20"/>
      <c r="B354" s="20"/>
      <c r="C354" s="44"/>
    </row>
    <row r="355">
      <c r="A355" s="20"/>
      <c r="B355" s="20"/>
      <c r="C355" s="44"/>
    </row>
    <row r="356">
      <c r="A356" s="20"/>
      <c r="B356" s="20"/>
      <c r="C356" s="44"/>
    </row>
    <row r="357">
      <c r="A357" s="20"/>
      <c r="B357" s="20"/>
      <c r="C357" s="44"/>
    </row>
    <row r="358">
      <c r="A358" s="20"/>
      <c r="B358" s="20"/>
      <c r="C358" s="44"/>
    </row>
    <row r="359">
      <c r="A359" s="20"/>
      <c r="B359" s="20"/>
      <c r="C359" s="44"/>
    </row>
    <row r="360">
      <c r="A360" s="20"/>
      <c r="B360" s="20"/>
      <c r="C360" s="44"/>
    </row>
    <row r="361">
      <c r="A361" s="20"/>
      <c r="B361" s="20"/>
      <c r="C361" s="44"/>
    </row>
    <row r="362">
      <c r="A362" s="20"/>
      <c r="B362" s="20"/>
      <c r="C362" s="44"/>
    </row>
    <row r="363">
      <c r="A363" s="20"/>
      <c r="B363" s="20"/>
      <c r="C363" s="44"/>
    </row>
    <row r="364">
      <c r="A364" s="20"/>
      <c r="B364" s="20"/>
      <c r="C364" s="44"/>
    </row>
    <row r="365">
      <c r="A365" s="20"/>
      <c r="B365" s="20"/>
      <c r="C365" s="44"/>
    </row>
    <row r="366">
      <c r="A366" s="20"/>
      <c r="B366" s="20"/>
      <c r="C366" s="44"/>
    </row>
    <row r="367">
      <c r="A367" s="20"/>
      <c r="B367" s="20"/>
      <c r="C367" s="44"/>
    </row>
    <row r="368">
      <c r="A368" s="20"/>
      <c r="B368" s="20"/>
      <c r="C368" s="44"/>
    </row>
    <row r="369">
      <c r="A369" s="20"/>
      <c r="B369" s="20"/>
      <c r="C369" s="44"/>
    </row>
    <row r="370">
      <c r="A370" s="20"/>
      <c r="B370" s="20"/>
      <c r="C370" s="44"/>
    </row>
    <row r="371">
      <c r="A371" s="20"/>
      <c r="B371" s="20"/>
      <c r="C371" s="44"/>
    </row>
    <row r="372">
      <c r="A372" s="20"/>
      <c r="B372" s="20"/>
      <c r="C372" s="44"/>
    </row>
    <row r="373">
      <c r="A373" s="20"/>
      <c r="B373" s="20"/>
      <c r="C373" s="44"/>
    </row>
    <row r="374">
      <c r="A374" s="20"/>
      <c r="B374" s="20"/>
      <c r="C374" s="44"/>
    </row>
    <row r="375">
      <c r="A375" s="20"/>
      <c r="B375" s="20"/>
      <c r="C375" s="44"/>
    </row>
    <row r="376">
      <c r="A376" s="20"/>
      <c r="B376" s="20"/>
      <c r="C376" s="44"/>
    </row>
    <row r="377">
      <c r="A377" s="20"/>
      <c r="B377" s="20"/>
      <c r="C377" s="44"/>
    </row>
    <row r="378">
      <c r="A378" s="20"/>
      <c r="B378" s="20"/>
      <c r="C378" s="44"/>
    </row>
    <row r="379">
      <c r="A379" s="20"/>
      <c r="B379" s="20"/>
      <c r="C379" s="44"/>
    </row>
    <row r="380">
      <c r="A380" s="20"/>
      <c r="B380" s="20"/>
      <c r="C380" s="44"/>
    </row>
    <row r="381">
      <c r="A381" s="20"/>
      <c r="B381" s="20"/>
      <c r="C381" s="44"/>
    </row>
    <row r="382">
      <c r="A382" s="20"/>
      <c r="B382" s="20"/>
      <c r="C382" s="44"/>
    </row>
    <row r="383">
      <c r="A383" s="20"/>
      <c r="B383" s="20"/>
      <c r="C383" s="44"/>
    </row>
    <row r="384">
      <c r="A384" s="20"/>
      <c r="B384" s="20"/>
      <c r="C384" s="44"/>
    </row>
    <row r="385">
      <c r="A385" s="20"/>
      <c r="B385" s="20"/>
      <c r="C385" s="44"/>
    </row>
    <row r="386">
      <c r="A386" s="20"/>
      <c r="B386" s="20"/>
      <c r="C386" s="44"/>
    </row>
    <row r="387">
      <c r="A387" s="20"/>
      <c r="B387" s="20"/>
      <c r="C387" s="44"/>
    </row>
    <row r="388">
      <c r="A388" s="20"/>
      <c r="B388" s="20"/>
      <c r="C388" s="44"/>
    </row>
    <row r="389">
      <c r="A389" s="20"/>
      <c r="B389" s="20"/>
      <c r="C389" s="44"/>
    </row>
    <row r="390">
      <c r="A390" s="20"/>
      <c r="B390" s="20"/>
      <c r="C390" s="44"/>
    </row>
    <row r="391">
      <c r="A391" s="20"/>
      <c r="B391" s="20"/>
      <c r="C391" s="44"/>
    </row>
    <row r="392">
      <c r="A392" s="20"/>
      <c r="B392" s="20"/>
      <c r="C392" s="44"/>
    </row>
    <row r="393">
      <c r="A393" s="20"/>
      <c r="B393" s="20"/>
      <c r="C393" s="44"/>
    </row>
    <row r="394">
      <c r="A394" s="20"/>
      <c r="B394" s="20"/>
      <c r="C394" s="44"/>
    </row>
    <row r="395">
      <c r="A395" s="20"/>
      <c r="B395" s="20"/>
      <c r="C395" s="44"/>
    </row>
    <row r="396">
      <c r="A396" s="20"/>
      <c r="B396" s="20"/>
      <c r="C396" s="44"/>
    </row>
    <row r="397">
      <c r="A397" s="20"/>
      <c r="B397" s="20"/>
      <c r="C397" s="44"/>
    </row>
    <row r="398">
      <c r="A398" s="20"/>
      <c r="B398" s="20"/>
      <c r="C398" s="44"/>
    </row>
    <row r="399">
      <c r="A399" s="20"/>
      <c r="B399" s="20"/>
      <c r="C399" s="44"/>
    </row>
    <row r="400">
      <c r="A400" s="20"/>
      <c r="B400" s="20"/>
      <c r="C400" s="44"/>
    </row>
    <row r="401">
      <c r="A401" s="20"/>
      <c r="B401" s="20"/>
      <c r="C401" s="44"/>
    </row>
    <row r="402">
      <c r="A402" s="20"/>
      <c r="B402" s="20"/>
      <c r="C402" s="44"/>
    </row>
    <row r="403">
      <c r="A403" s="20"/>
      <c r="B403" s="20"/>
      <c r="C403" s="44"/>
    </row>
    <row r="404">
      <c r="A404" s="20"/>
      <c r="B404" s="20"/>
      <c r="C404" s="44"/>
    </row>
    <row r="405">
      <c r="A405" s="20"/>
      <c r="B405" s="20"/>
      <c r="C405" s="44"/>
    </row>
    <row r="406">
      <c r="A406" s="20"/>
      <c r="B406" s="20"/>
      <c r="C406" s="44"/>
    </row>
    <row r="407">
      <c r="A407" s="20"/>
      <c r="B407" s="20"/>
      <c r="C407" s="44"/>
    </row>
    <row r="408">
      <c r="A408" s="20"/>
      <c r="B408" s="20"/>
      <c r="C408" s="44"/>
    </row>
    <row r="409">
      <c r="A409" s="20"/>
      <c r="B409" s="20"/>
      <c r="C409" s="44"/>
    </row>
    <row r="410">
      <c r="A410" s="20"/>
      <c r="B410" s="20"/>
      <c r="C410" s="44"/>
    </row>
    <row r="411">
      <c r="A411" s="20"/>
      <c r="B411" s="20"/>
      <c r="C411" s="44"/>
    </row>
    <row r="412">
      <c r="A412" s="20"/>
      <c r="B412" s="20"/>
      <c r="C412" s="44"/>
    </row>
    <row r="413">
      <c r="A413" s="20"/>
      <c r="B413" s="20"/>
      <c r="C413" s="44"/>
    </row>
    <row r="414">
      <c r="A414" s="20"/>
      <c r="B414" s="20"/>
      <c r="C414" s="44"/>
    </row>
    <row r="415">
      <c r="A415" s="20"/>
      <c r="B415" s="20"/>
      <c r="C415" s="44"/>
    </row>
    <row r="416">
      <c r="A416" s="20"/>
      <c r="B416" s="20"/>
      <c r="C416" s="44"/>
    </row>
    <row r="417">
      <c r="A417" s="20"/>
      <c r="B417" s="20"/>
      <c r="C417" s="44"/>
    </row>
    <row r="418">
      <c r="A418" s="20"/>
      <c r="B418" s="20"/>
      <c r="C418" s="44"/>
    </row>
    <row r="419">
      <c r="A419" s="20"/>
      <c r="B419" s="20"/>
      <c r="C419" s="44"/>
    </row>
    <row r="420">
      <c r="A420" s="20"/>
      <c r="B420" s="20"/>
      <c r="C420" s="44"/>
    </row>
    <row r="421">
      <c r="A421" s="20"/>
      <c r="B421" s="20"/>
      <c r="C421" s="44"/>
    </row>
    <row r="422">
      <c r="A422" s="20"/>
      <c r="B422" s="20"/>
      <c r="C422" s="44"/>
    </row>
    <row r="423">
      <c r="A423" s="20"/>
      <c r="B423" s="20"/>
      <c r="C423" s="44"/>
    </row>
    <row r="424">
      <c r="A424" s="20"/>
      <c r="B424" s="20"/>
      <c r="C424" s="44"/>
    </row>
    <row r="425">
      <c r="A425" s="20"/>
      <c r="B425" s="20"/>
      <c r="C425" s="44"/>
    </row>
    <row r="426">
      <c r="A426" s="20"/>
      <c r="B426" s="20"/>
      <c r="C426" s="44"/>
    </row>
    <row r="427">
      <c r="A427" s="20"/>
      <c r="B427" s="20"/>
      <c r="C427" s="44"/>
    </row>
    <row r="428">
      <c r="A428" s="20"/>
      <c r="B428" s="20"/>
      <c r="C428" s="44"/>
    </row>
    <row r="429">
      <c r="A429" s="20"/>
      <c r="B429" s="20"/>
      <c r="C429" s="44"/>
    </row>
    <row r="430">
      <c r="A430" s="20"/>
      <c r="B430" s="20"/>
      <c r="C430" s="44"/>
    </row>
    <row r="431">
      <c r="A431" s="20"/>
      <c r="B431" s="20"/>
      <c r="C431" s="44"/>
    </row>
    <row r="432">
      <c r="A432" s="20"/>
      <c r="B432" s="20"/>
      <c r="C432" s="44"/>
    </row>
    <row r="433">
      <c r="A433" s="20"/>
      <c r="B433" s="20"/>
      <c r="C433" s="44"/>
    </row>
    <row r="434">
      <c r="A434" s="20"/>
      <c r="B434" s="20"/>
      <c r="C434" s="44"/>
    </row>
    <row r="435">
      <c r="A435" s="20"/>
      <c r="B435" s="20"/>
      <c r="C435" s="44"/>
    </row>
    <row r="436">
      <c r="A436" s="20"/>
      <c r="B436" s="20"/>
      <c r="C436" s="44"/>
    </row>
    <row r="437">
      <c r="A437" s="20"/>
      <c r="B437" s="20"/>
      <c r="C437" s="44"/>
    </row>
    <row r="438">
      <c r="A438" s="20"/>
      <c r="B438" s="20"/>
      <c r="C438" s="44"/>
    </row>
    <row r="439">
      <c r="A439" s="20"/>
      <c r="B439" s="20"/>
      <c r="C439" s="44"/>
    </row>
    <row r="440">
      <c r="A440" s="20"/>
      <c r="B440" s="20"/>
      <c r="C440" s="44"/>
    </row>
    <row r="441">
      <c r="A441" s="20"/>
      <c r="B441" s="20"/>
      <c r="C441" s="44"/>
    </row>
    <row r="442">
      <c r="A442" s="20"/>
      <c r="B442" s="20"/>
      <c r="C442" s="44"/>
    </row>
    <row r="443">
      <c r="A443" s="20"/>
      <c r="B443" s="20"/>
      <c r="C443" s="44"/>
    </row>
    <row r="444">
      <c r="A444" s="20"/>
      <c r="B444" s="20"/>
      <c r="C444" s="44"/>
    </row>
    <row r="445">
      <c r="A445" s="20"/>
      <c r="B445" s="20"/>
      <c r="C445" s="44"/>
    </row>
    <row r="446">
      <c r="A446" s="20"/>
      <c r="B446" s="20"/>
      <c r="C446" s="44"/>
    </row>
    <row r="447">
      <c r="A447" s="20"/>
      <c r="B447" s="20"/>
      <c r="C447" s="44"/>
    </row>
    <row r="448">
      <c r="A448" s="20"/>
      <c r="B448" s="20"/>
      <c r="C448" s="44"/>
    </row>
    <row r="449">
      <c r="A449" s="20"/>
      <c r="B449" s="20"/>
      <c r="C449" s="44"/>
    </row>
    <row r="450">
      <c r="A450" s="20"/>
      <c r="B450" s="20"/>
      <c r="C450" s="44"/>
    </row>
    <row r="451">
      <c r="A451" s="20"/>
      <c r="B451" s="20"/>
      <c r="C451" s="44"/>
    </row>
    <row r="452">
      <c r="A452" s="20"/>
      <c r="B452" s="20"/>
      <c r="C452" s="44"/>
    </row>
    <row r="453">
      <c r="A453" s="20"/>
      <c r="B453" s="20"/>
      <c r="C453" s="44"/>
    </row>
    <row r="454">
      <c r="A454" s="20"/>
      <c r="B454" s="20"/>
      <c r="C454" s="44"/>
    </row>
    <row r="455">
      <c r="A455" s="20"/>
      <c r="B455" s="20"/>
      <c r="C455" s="44"/>
    </row>
    <row r="456">
      <c r="A456" s="20"/>
      <c r="B456" s="20"/>
      <c r="C456" s="44"/>
    </row>
    <row r="457">
      <c r="A457" s="20"/>
      <c r="B457" s="20"/>
      <c r="C457" s="44"/>
    </row>
    <row r="458">
      <c r="A458" s="20"/>
      <c r="B458" s="20"/>
      <c r="C458" s="44"/>
    </row>
    <row r="459">
      <c r="A459" s="20"/>
      <c r="B459" s="20"/>
      <c r="C459" s="44"/>
    </row>
    <row r="460">
      <c r="A460" s="20"/>
      <c r="B460" s="20"/>
      <c r="C460" s="44"/>
    </row>
    <row r="461">
      <c r="A461" s="20"/>
      <c r="B461" s="20"/>
      <c r="C461" s="44"/>
    </row>
    <row r="462">
      <c r="A462" s="20"/>
      <c r="B462" s="20"/>
      <c r="C462" s="44"/>
    </row>
    <row r="463">
      <c r="A463" s="20"/>
      <c r="B463" s="20"/>
      <c r="C463" s="44"/>
    </row>
    <row r="464">
      <c r="A464" s="20"/>
      <c r="B464" s="20"/>
      <c r="C464" s="44"/>
    </row>
    <row r="465">
      <c r="A465" s="20"/>
      <c r="B465" s="20"/>
      <c r="C465" s="44"/>
    </row>
    <row r="466">
      <c r="A466" s="20"/>
      <c r="B466" s="20"/>
      <c r="C466" s="44"/>
    </row>
    <row r="467">
      <c r="A467" s="20"/>
      <c r="B467" s="20"/>
      <c r="C467" s="44"/>
    </row>
    <row r="468">
      <c r="A468" s="20"/>
      <c r="B468" s="20"/>
      <c r="C468" s="44"/>
    </row>
    <row r="469">
      <c r="A469" s="20"/>
      <c r="B469" s="20"/>
      <c r="C469" s="44"/>
    </row>
    <row r="470">
      <c r="A470" s="20"/>
      <c r="B470" s="20"/>
      <c r="C470" s="44"/>
    </row>
    <row r="471">
      <c r="A471" s="20"/>
      <c r="B471" s="20"/>
      <c r="C471" s="44"/>
    </row>
    <row r="472">
      <c r="A472" s="20"/>
      <c r="B472" s="20"/>
      <c r="C472" s="44"/>
    </row>
    <row r="473">
      <c r="A473" s="20"/>
      <c r="B473" s="20"/>
      <c r="C473" s="44"/>
    </row>
    <row r="474">
      <c r="A474" s="20"/>
      <c r="B474" s="20"/>
      <c r="C474" s="44"/>
    </row>
    <row r="475">
      <c r="A475" s="20"/>
      <c r="B475" s="20"/>
      <c r="C475" s="44"/>
    </row>
    <row r="476">
      <c r="A476" s="20"/>
      <c r="B476" s="20"/>
      <c r="C476" s="44"/>
    </row>
    <row r="477">
      <c r="A477" s="20"/>
      <c r="B477" s="20"/>
      <c r="C477" s="44"/>
    </row>
    <row r="478">
      <c r="A478" s="20"/>
      <c r="B478" s="20"/>
      <c r="C478" s="44"/>
    </row>
    <row r="479">
      <c r="A479" s="20"/>
      <c r="B479" s="20"/>
      <c r="C479" s="44"/>
    </row>
    <row r="480">
      <c r="A480" s="20"/>
      <c r="B480" s="20"/>
      <c r="C480" s="44"/>
    </row>
    <row r="481">
      <c r="A481" s="20"/>
      <c r="B481" s="20"/>
      <c r="C481" s="44"/>
    </row>
    <row r="482">
      <c r="A482" s="20"/>
      <c r="B482" s="20"/>
      <c r="C482" s="44"/>
    </row>
    <row r="483">
      <c r="A483" s="20"/>
      <c r="B483" s="20"/>
      <c r="C483" s="44"/>
    </row>
    <row r="484">
      <c r="A484" s="20"/>
      <c r="B484" s="20"/>
      <c r="C484" s="44"/>
    </row>
    <row r="485">
      <c r="A485" s="20"/>
      <c r="B485" s="20"/>
      <c r="C485" s="44"/>
    </row>
    <row r="486">
      <c r="A486" s="20"/>
      <c r="B486" s="20"/>
      <c r="C486" s="44"/>
    </row>
    <row r="487">
      <c r="A487" s="20"/>
      <c r="B487" s="20"/>
      <c r="C487" s="44"/>
    </row>
    <row r="488">
      <c r="A488" s="20"/>
      <c r="B488" s="20"/>
      <c r="C488" s="44"/>
    </row>
    <row r="489">
      <c r="A489" s="20"/>
      <c r="B489" s="20"/>
      <c r="C489" s="44"/>
    </row>
    <row r="490">
      <c r="A490" s="20"/>
      <c r="B490" s="20"/>
      <c r="C490" s="44"/>
    </row>
    <row r="491">
      <c r="A491" s="20"/>
      <c r="B491" s="20"/>
      <c r="C491" s="44"/>
    </row>
    <row r="492">
      <c r="A492" s="20"/>
      <c r="B492" s="20"/>
      <c r="C492" s="44"/>
    </row>
    <row r="493">
      <c r="A493" s="20"/>
      <c r="B493" s="20"/>
      <c r="C493" s="44"/>
    </row>
    <row r="494">
      <c r="A494" s="20"/>
      <c r="B494" s="20"/>
      <c r="C494" s="44"/>
    </row>
    <row r="495">
      <c r="A495" s="20"/>
      <c r="B495" s="20"/>
      <c r="C495" s="44"/>
    </row>
    <row r="496">
      <c r="A496" s="20"/>
      <c r="B496" s="20"/>
      <c r="C496" s="44"/>
    </row>
    <row r="497">
      <c r="A497" s="20"/>
      <c r="B497" s="20"/>
      <c r="C497" s="44"/>
    </row>
    <row r="498">
      <c r="A498" s="20"/>
      <c r="B498" s="20"/>
      <c r="C498" s="44"/>
    </row>
    <row r="499">
      <c r="A499" s="20"/>
      <c r="B499" s="20"/>
      <c r="C499" s="44"/>
    </row>
    <row r="500">
      <c r="A500" s="20"/>
      <c r="B500" s="20"/>
      <c r="C500" s="44"/>
    </row>
    <row r="501">
      <c r="A501" s="20"/>
      <c r="B501" s="20"/>
      <c r="C501" s="44"/>
    </row>
    <row r="502">
      <c r="A502" s="20"/>
      <c r="B502" s="20"/>
      <c r="C502" s="44"/>
    </row>
    <row r="503">
      <c r="A503" s="20"/>
      <c r="B503" s="20"/>
      <c r="C503" s="44"/>
    </row>
    <row r="504">
      <c r="A504" s="20"/>
      <c r="B504" s="20"/>
      <c r="C504" s="44"/>
    </row>
    <row r="505">
      <c r="A505" s="20"/>
      <c r="B505" s="20"/>
      <c r="C505" s="44"/>
    </row>
    <row r="506">
      <c r="A506" s="20"/>
      <c r="B506" s="20"/>
      <c r="C506" s="44"/>
    </row>
    <row r="507">
      <c r="A507" s="20"/>
      <c r="B507" s="20"/>
      <c r="C507" s="44"/>
    </row>
    <row r="508">
      <c r="A508" s="20"/>
      <c r="B508" s="20"/>
      <c r="C508" s="44"/>
    </row>
    <row r="509">
      <c r="A509" s="20"/>
      <c r="B509" s="20"/>
      <c r="C509" s="44"/>
    </row>
    <row r="510">
      <c r="A510" s="20"/>
      <c r="B510" s="20"/>
      <c r="C510" s="44"/>
    </row>
    <row r="511">
      <c r="A511" s="20"/>
      <c r="B511" s="20"/>
      <c r="C511" s="44"/>
    </row>
    <row r="512">
      <c r="A512" s="20"/>
      <c r="B512" s="20"/>
      <c r="C512" s="44"/>
    </row>
    <row r="513">
      <c r="A513" s="20"/>
      <c r="B513" s="20"/>
      <c r="C513" s="44"/>
    </row>
    <row r="514">
      <c r="A514" s="20"/>
      <c r="B514" s="20"/>
      <c r="C514" s="44"/>
    </row>
    <row r="515">
      <c r="A515" s="20"/>
      <c r="B515" s="20"/>
      <c r="C515" s="44"/>
    </row>
    <row r="516">
      <c r="A516" s="20"/>
      <c r="B516" s="20"/>
      <c r="C516" s="44"/>
    </row>
    <row r="517">
      <c r="A517" s="20"/>
      <c r="B517" s="20"/>
      <c r="C517" s="44"/>
    </row>
    <row r="518">
      <c r="A518" s="20"/>
      <c r="B518" s="20"/>
      <c r="C518" s="44"/>
    </row>
    <row r="519">
      <c r="A519" s="20"/>
      <c r="B519" s="20"/>
      <c r="C519" s="44"/>
    </row>
    <row r="520">
      <c r="A520" s="20"/>
      <c r="B520" s="20"/>
      <c r="C520" s="44"/>
    </row>
    <row r="521">
      <c r="A521" s="20"/>
      <c r="B521" s="20"/>
      <c r="C521" s="44"/>
    </row>
    <row r="522">
      <c r="A522" s="20"/>
      <c r="B522" s="20"/>
      <c r="C522" s="44"/>
    </row>
    <row r="523">
      <c r="A523" s="20"/>
      <c r="B523" s="20"/>
      <c r="C523" s="44"/>
    </row>
    <row r="524">
      <c r="A524" s="20"/>
      <c r="B524" s="20"/>
      <c r="C524" s="44"/>
    </row>
    <row r="525">
      <c r="A525" s="20"/>
      <c r="B525" s="20"/>
      <c r="C525" s="44"/>
    </row>
    <row r="526">
      <c r="A526" s="20"/>
      <c r="B526" s="20"/>
      <c r="C526" s="44"/>
    </row>
    <row r="527">
      <c r="A527" s="20"/>
      <c r="B527" s="20"/>
      <c r="C527" s="44"/>
    </row>
    <row r="528">
      <c r="A528" s="20"/>
      <c r="B528" s="20"/>
      <c r="C528" s="44"/>
    </row>
    <row r="529">
      <c r="A529" s="20"/>
      <c r="B529" s="20"/>
      <c r="C529" s="44"/>
    </row>
    <row r="530">
      <c r="A530" s="20"/>
      <c r="B530" s="20"/>
      <c r="C530" s="44"/>
    </row>
    <row r="531">
      <c r="A531" s="20"/>
      <c r="B531" s="20"/>
      <c r="C531" s="44"/>
    </row>
    <row r="532">
      <c r="A532" s="20"/>
      <c r="B532" s="20"/>
      <c r="C532" s="44"/>
    </row>
    <row r="533">
      <c r="A533" s="20"/>
      <c r="B533" s="20"/>
      <c r="C533" s="44"/>
    </row>
    <row r="534">
      <c r="A534" s="20"/>
      <c r="B534" s="20"/>
      <c r="C534" s="44"/>
    </row>
    <row r="535">
      <c r="A535" s="20"/>
      <c r="B535" s="20"/>
      <c r="C535" s="44"/>
    </row>
    <row r="536">
      <c r="A536" s="20"/>
      <c r="B536" s="20"/>
      <c r="C536" s="44"/>
    </row>
    <row r="537">
      <c r="A537" s="20"/>
      <c r="B537" s="20"/>
      <c r="C537" s="44"/>
    </row>
    <row r="538">
      <c r="A538" s="20"/>
      <c r="B538" s="20"/>
      <c r="C538" s="44"/>
    </row>
    <row r="539">
      <c r="A539" s="20"/>
      <c r="B539" s="20"/>
      <c r="C539" s="44"/>
    </row>
    <row r="540">
      <c r="A540" s="20"/>
      <c r="B540" s="20"/>
      <c r="C540" s="44"/>
    </row>
    <row r="541">
      <c r="A541" s="20"/>
      <c r="B541" s="20"/>
      <c r="C541" s="44"/>
    </row>
    <row r="542">
      <c r="A542" s="20"/>
      <c r="B542" s="20"/>
      <c r="C542" s="44"/>
    </row>
    <row r="543">
      <c r="A543" s="20"/>
      <c r="B543" s="20"/>
      <c r="C543" s="44"/>
    </row>
    <row r="544">
      <c r="A544" s="20"/>
      <c r="B544" s="20"/>
      <c r="C544" s="44"/>
    </row>
    <row r="545">
      <c r="A545" s="20"/>
      <c r="B545" s="20"/>
      <c r="C545" s="44"/>
    </row>
    <row r="546">
      <c r="A546" s="20"/>
      <c r="B546" s="20"/>
      <c r="C546" s="44"/>
    </row>
    <row r="547">
      <c r="A547" s="20"/>
      <c r="B547" s="20"/>
      <c r="C547" s="44"/>
    </row>
    <row r="548">
      <c r="A548" s="20"/>
      <c r="B548" s="20"/>
      <c r="C548" s="44"/>
    </row>
    <row r="549">
      <c r="A549" s="20"/>
      <c r="B549" s="20"/>
      <c r="C549" s="44"/>
    </row>
    <row r="550">
      <c r="A550" s="20"/>
      <c r="B550" s="20"/>
      <c r="C550" s="44"/>
    </row>
    <row r="551">
      <c r="A551" s="20"/>
      <c r="B551" s="20"/>
      <c r="C551" s="44"/>
    </row>
    <row r="552">
      <c r="A552" s="20"/>
      <c r="B552" s="20"/>
      <c r="C552" s="44"/>
    </row>
    <row r="553">
      <c r="A553" s="20"/>
      <c r="B553" s="20"/>
      <c r="C553" s="44"/>
    </row>
    <row r="554">
      <c r="A554" s="20"/>
      <c r="B554" s="20"/>
      <c r="C554" s="44"/>
    </row>
    <row r="555">
      <c r="A555" s="20"/>
      <c r="B555" s="20"/>
      <c r="C555" s="44"/>
    </row>
    <row r="556">
      <c r="A556" s="20"/>
      <c r="B556" s="20"/>
      <c r="C556" s="44"/>
    </row>
    <row r="557">
      <c r="A557" s="20"/>
      <c r="B557" s="20"/>
      <c r="C557" s="44"/>
    </row>
    <row r="558">
      <c r="A558" s="20"/>
      <c r="B558" s="20"/>
      <c r="C558" s="44"/>
    </row>
    <row r="559">
      <c r="A559" s="20"/>
      <c r="B559" s="20"/>
      <c r="C559" s="44"/>
    </row>
    <row r="560">
      <c r="A560" s="20"/>
      <c r="B560" s="20"/>
      <c r="C560" s="44"/>
    </row>
    <row r="561">
      <c r="A561" s="20"/>
      <c r="B561" s="20"/>
      <c r="C561" s="44"/>
    </row>
    <row r="562">
      <c r="A562" s="20"/>
      <c r="B562" s="20"/>
      <c r="C562" s="44"/>
    </row>
    <row r="563">
      <c r="A563" s="20"/>
      <c r="B563" s="20"/>
      <c r="C563" s="44"/>
    </row>
    <row r="564">
      <c r="A564" s="20"/>
      <c r="B564" s="20"/>
      <c r="C564" s="44"/>
    </row>
    <row r="565">
      <c r="A565" s="20"/>
      <c r="B565" s="20"/>
      <c r="C565" s="44"/>
    </row>
    <row r="566">
      <c r="A566" s="20"/>
      <c r="B566" s="20"/>
      <c r="C566" s="44"/>
    </row>
    <row r="567">
      <c r="A567" s="20"/>
      <c r="B567" s="20"/>
      <c r="C567" s="44"/>
    </row>
    <row r="568">
      <c r="A568" s="20"/>
      <c r="B568" s="20"/>
      <c r="C568" s="44"/>
    </row>
    <row r="569">
      <c r="A569" s="20"/>
      <c r="B569" s="20"/>
      <c r="C569" s="44"/>
    </row>
    <row r="570">
      <c r="A570" s="20"/>
      <c r="B570" s="20"/>
      <c r="C570" s="44"/>
    </row>
    <row r="571">
      <c r="A571" s="20"/>
      <c r="B571" s="20"/>
      <c r="C571" s="44"/>
    </row>
    <row r="572">
      <c r="A572" s="20"/>
      <c r="B572" s="20"/>
      <c r="C572" s="44"/>
    </row>
    <row r="573">
      <c r="A573" s="20"/>
      <c r="B573" s="20"/>
      <c r="C573" s="44"/>
    </row>
    <row r="574">
      <c r="A574" s="20"/>
      <c r="B574" s="20"/>
      <c r="C574" s="44"/>
    </row>
    <row r="575">
      <c r="A575" s="20"/>
      <c r="B575" s="20"/>
      <c r="C575" s="44"/>
    </row>
    <row r="576">
      <c r="A576" s="20"/>
      <c r="B576" s="20"/>
      <c r="C576" s="44"/>
    </row>
    <row r="577">
      <c r="A577" s="20"/>
      <c r="B577" s="20"/>
      <c r="C577" s="44"/>
    </row>
    <row r="578">
      <c r="A578" s="20"/>
      <c r="B578" s="20"/>
      <c r="C578" s="44"/>
    </row>
    <row r="579">
      <c r="A579" s="20"/>
      <c r="B579" s="20"/>
      <c r="C579" s="44"/>
    </row>
    <row r="580">
      <c r="A580" s="20"/>
      <c r="B580" s="20"/>
      <c r="C580" s="44"/>
    </row>
    <row r="581">
      <c r="A581" s="20"/>
      <c r="B581" s="20"/>
      <c r="C581" s="44"/>
    </row>
    <row r="582">
      <c r="A582" s="20"/>
      <c r="B582" s="20"/>
      <c r="C582" s="44"/>
    </row>
    <row r="583">
      <c r="A583" s="20"/>
      <c r="B583" s="20"/>
      <c r="C583" s="44"/>
    </row>
    <row r="584">
      <c r="A584" s="20"/>
      <c r="B584" s="20"/>
      <c r="C584" s="44"/>
    </row>
    <row r="585">
      <c r="A585" s="20"/>
      <c r="B585" s="20"/>
      <c r="C585" s="44"/>
    </row>
    <row r="586">
      <c r="A586" s="20"/>
      <c r="B586" s="20"/>
      <c r="C586" s="44"/>
    </row>
    <row r="587">
      <c r="A587" s="20"/>
      <c r="B587" s="20"/>
      <c r="C587" s="44"/>
    </row>
    <row r="588">
      <c r="A588" s="20"/>
      <c r="B588" s="20"/>
      <c r="C588" s="44"/>
    </row>
    <row r="589">
      <c r="A589" s="20"/>
      <c r="B589" s="20"/>
      <c r="C589" s="44"/>
    </row>
    <row r="590">
      <c r="A590" s="20"/>
      <c r="B590" s="20"/>
      <c r="C590" s="44"/>
    </row>
    <row r="591">
      <c r="A591" s="20"/>
      <c r="B591" s="20"/>
      <c r="C591" s="44"/>
    </row>
    <row r="592">
      <c r="A592" s="20"/>
      <c r="B592" s="20"/>
      <c r="C592" s="44"/>
    </row>
    <row r="593">
      <c r="A593" s="20"/>
      <c r="B593" s="20"/>
      <c r="C593" s="44"/>
    </row>
    <row r="594">
      <c r="A594" s="20"/>
      <c r="B594" s="20"/>
      <c r="C594" s="44"/>
    </row>
    <row r="595">
      <c r="A595" s="20"/>
      <c r="B595" s="20"/>
      <c r="C595" s="44"/>
    </row>
    <row r="596">
      <c r="A596" s="20"/>
      <c r="B596" s="20"/>
      <c r="C596" s="44"/>
    </row>
    <row r="597">
      <c r="A597" s="20"/>
      <c r="B597" s="20"/>
      <c r="C597" s="44"/>
    </row>
    <row r="598">
      <c r="A598" s="20"/>
      <c r="B598" s="20"/>
      <c r="C598" s="44"/>
    </row>
    <row r="599">
      <c r="A599" s="20"/>
      <c r="B599" s="20"/>
      <c r="C599" s="44"/>
    </row>
    <row r="600">
      <c r="A600" s="20"/>
      <c r="B600" s="20"/>
      <c r="C600" s="44"/>
    </row>
    <row r="601">
      <c r="A601" s="20"/>
      <c r="B601" s="20"/>
      <c r="C601" s="44"/>
    </row>
    <row r="602">
      <c r="A602" s="20"/>
      <c r="B602" s="20"/>
      <c r="C602" s="44"/>
    </row>
    <row r="603">
      <c r="A603" s="20"/>
      <c r="B603" s="20"/>
      <c r="C603" s="44"/>
    </row>
    <row r="604">
      <c r="A604" s="20"/>
      <c r="B604" s="20"/>
      <c r="C604" s="44"/>
    </row>
    <row r="605">
      <c r="A605" s="20"/>
      <c r="B605" s="20"/>
      <c r="C605" s="44"/>
    </row>
    <row r="606">
      <c r="A606" s="20"/>
      <c r="B606" s="20"/>
      <c r="C606" s="44"/>
    </row>
    <row r="607">
      <c r="A607" s="20"/>
      <c r="B607" s="20"/>
      <c r="C607" s="44"/>
    </row>
    <row r="608">
      <c r="A608" s="20"/>
      <c r="B608" s="20"/>
      <c r="C608" s="44"/>
    </row>
    <row r="609">
      <c r="A609" s="20"/>
      <c r="B609" s="20"/>
      <c r="C609" s="44"/>
    </row>
    <row r="610">
      <c r="A610" s="20"/>
      <c r="B610" s="20"/>
      <c r="C610" s="44"/>
    </row>
    <row r="611">
      <c r="A611" s="20"/>
      <c r="B611" s="20"/>
      <c r="C611" s="44"/>
    </row>
    <row r="612">
      <c r="A612" s="20"/>
      <c r="B612" s="20"/>
      <c r="C612" s="44"/>
    </row>
    <row r="613">
      <c r="A613" s="20"/>
      <c r="B613" s="20"/>
      <c r="C613" s="44"/>
    </row>
    <row r="614">
      <c r="A614" s="20"/>
      <c r="B614" s="20"/>
      <c r="C614" s="44"/>
    </row>
    <row r="615">
      <c r="A615" s="20"/>
      <c r="B615" s="20"/>
      <c r="C615" s="44"/>
    </row>
    <row r="616">
      <c r="A616" s="20"/>
      <c r="B616" s="20"/>
      <c r="C616" s="44"/>
    </row>
    <row r="617">
      <c r="A617" s="20"/>
      <c r="B617" s="20"/>
      <c r="C617" s="44"/>
    </row>
    <row r="618">
      <c r="A618" s="20"/>
      <c r="B618" s="20"/>
      <c r="C618" s="44"/>
    </row>
    <row r="619">
      <c r="A619" s="20"/>
      <c r="B619" s="20"/>
      <c r="C619" s="44"/>
    </row>
    <row r="620">
      <c r="A620" s="20"/>
      <c r="B620" s="20"/>
      <c r="C620" s="44"/>
    </row>
    <row r="621">
      <c r="A621" s="20"/>
      <c r="B621" s="20"/>
      <c r="C621" s="44"/>
    </row>
    <row r="622">
      <c r="A622" s="20"/>
      <c r="B622" s="20"/>
      <c r="C622" s="44"/>
    </row>
    <row r="623">
      <c r="A623" s="20"/>
      <c r="B623" s="20"/>
      <c r="C623" s="44"/>
    </row>
    <row r="624">
      <c r="A624" s="20"/>
      <c r="B624" s="20"/>
      <c r="C624" s="44"/>
    </row>
    <row r="625">
      <c r="A625" s="20"/>
      <c r="B625" s="20"/>
      <c r="C625" s="44"/>
    </row>
    <row r="626">
      <c r="A626" s="20"/>
      <c r="B626" s="20"/>
      <c r="C626" s="44"/>
    </row>
    <row r="627">
      <c r="A627" s="20"/>
      <c r="B627" s="20"/>
      <c r="C627" s="44"/>
    </row>
    <row r="628">
      <c r="A628" s="20"/>
      <c r="B628" s="20"/>
      <c r="C628" s="44"/>
    </row>
    <row r="629">
      <c r="A629" s="20"/>
      <c r="B629" s="20"/>
      <c r="C629" s="44"/>
    </row>
    <row r="630">
      <c r="A630" s="20"/>
      <c r="B630" s="20"/>
      <c r="C630" s="44"/>
    </row>
    <row r="631">
      <c r="A631" s="20"/>
      <c r="B631" s="20"/>
      <c r="C631" s="44"/>
    </row>
    <row r="632">
      <c r="A632" s="20"/>
      <c r="B632" s="20"/>
      <c r="C632" s="44"/>
    </row>
    <row r="633">
      <c r="A633" s="20"/>
      <c r="B633" s="20"/>
      <c r="C633" s="44"/>
    </row>
    <row r="634">
      <c r="A634" s="20"/>
      <c r="B634" s="20"/>
      <c r="C634" s="44"/>
    </row>
    <row r="635">
      <c r="A635" s="20"/>
      <c r="B635" s="20"/>
      <c r="C635" s="44"/>
    </row>
    <row r="636">
      <c r="A636" s="20"/>
      <c r="B636" s="20"/>
      <c r="C636" s="44"/>
    </row>
    <row r="637">
      <c r="A637" s="20"/>
      <c r="B637" s="20"/>
      <c r="C637" s="44"/>
    </row>
    <row r="638">
      <c r="A638" s="20"/>
      <c r="B638" s="20"/>
      <c r="C638" s="44"/>
    </row>
    <row r="639">
      <c r="A639" s="20"/>
      <c r="B639" s="20"/>
      <c r="C639" s="44"/>
    </row>
    <row r="640">
      <c r="A640" s="20"/>
      <c r="B640" s="20"/>
      <c r="C640" s="44"/>
    </row>
    <row r="641">
      <c r="A641" s="20"/>
      <c r="B641" s="20"/>
      <c r="C641" s="44"/>
    </row>
    <row r="642">
      <c r="A642" s="20"/>
      <c r="B642" s="20"/>
      <c r="C642" s="44"/>
    </row>
    <row r="643">
      <c r="A643" s="20"/>
      <c r="B643" s="20"/>
      <c r="C643" s="44"/>
    </row>
    <row r="644">
      <c r="A644" s="20"/>
      <c r="B644" s="20"/>
      <c r="C644" s="44"/>
    </row>
    <row r="645">
      <c r="A645" s="20"/>
      <c r="B645" s="20"/>
      <c r="C645" s="44"/>
    </row>
    <row r="646">
      <c r="A646" s="20"/>
      <c r="B646" s="20"/>
      <c r="C646" s="44"/>
    </row>
    <row r="647">
      <c r="A647" s="20"/>
      <c r="B647" s="20"/>
      <c r="C647" s="44"/>
    </row>
    <row r="648">
      <c r="A648" s="20"/>
      <c r="B648" s="20"/>
      <c r="C648" s="44"/>
    </row>
    <row r="649">
      <c r="A649" s="20"/>
      <c r="B649" s="20"/>
      <c r="C649" s="44"/>
    </row>
    <row r="650">
      <c r="A650" s="20"/>
      <c r="B650" s="20"/>
      <c r="C650" s="44"/>
    </row>
    <row r="651">
      <c r="A651" s="20"/>
      <c r="B651" s="20"/>
      <c r="C651" s="44"/>
    </row>
    <row r="652">
      <c r="A652" s="20"/>
      <c r="B652" s="20"/>
      <c r="C652" s="44"/>
    </row>
    <row r="653">
      <c r="A653" s="20"/>
      <c r="B653" s="20"/>
      <c r="C653" s="44"/>
    </row>
    <row r="654">
      <c r="A654" s="20"/>
      <c r="B654" s="20"/>
      <c r="C654" s="44"/>
    </row>
    <row r="655">
      <c r="A655" s="20"/>
      <c r="B655" s="20"/>
      <c r="C655" s="44"/>
    </row>
    <row r="656">
      <c r="A656" s="20"/>
      <c r="B656" s="20"/>
      <c r="C656" s="44"/>
    </row>
    <row r="657">
      <c r="A657" s="20"/>
      <c r="B657" s="20"/>
      <c r="C657" s="44"/>
    </row>
    <row r="658">
      <c r="A658" s="20"/>
      <c r="B658" s="20"/>
      <c r="C658" s="44"/>
    </row>
    <row r="659">
      <c r="A659" s="20"/>
      <c r="B659" s="20"/>
      <c r="C659" s="44"/>
    </row>
    <row r="660">
      <c r="A660" s="20"/>
      <c r="B660" s="20"/>
      <c r="C660" s="44"/>
    </row>
    <row r="661">
      <c r="A661" s="20"/>
      <c r="B661" s="20"/>
      <c r="C661" s="44"/>
    </row>
    <row r="662">
      <c r="A662" s="20"/>
      <c r="B662" s="20"/>
      <c r="C662" s="44"/>
    </row>
    <row r="663">
      <c r="A663" s="20"/>
      <c r="B663" s="20"/>
      <c r="C663" s="44"/>
    </row>
    <row r="664">
      <c r="A664" s="20"/>
      <c r="B664" s="20"/>
      <c r="C664" s="44"/>
    </row>
    <row r="665">
      <c r="A665" s="20"/>
      <c r="B665" s="20"/>
      <c r="C665" s="44"/>
    </row>
    <row r="666">
      <c r="A666" s="20"/>
      <c r="B666" s="20"/>
      <c r="C666" s="44"/>
    </row>
    <row r="667">
      <c r="A667" s="20"/>
      <c r="B667" s="20"/>
      <c r="C667" s="44"/>
    </row>
    <row r="668">
      <c r="A668" s="20"/>
      <c r="B668" s="20"/>
      <c r="C668" s="44"/>
    </row>
    <row r="669">
      <c r="A669" s="20"/>
      <c r="B669" s="20"/>
      <c r="C669" s="44"/>
    </row>
    <row r="670">
      <c r="A670" s="20"/>
      <c r="B670" s="20"/>
      <c r="C670" s="44"/>
    </row>
    <row r="671">
      <c r="A671" s="20"/>
      <c r="B671" s="20"/>
      <c r="C671" s="44"/>
    </row>
    <row r="672">
      <c r="A672" s="20"/>
      <c r="B672" s="20"/>
      <c r="C672" s="44"/>
    </row>
    <row r="673">
      <c r="A673" s="20"/>
      <c r="B673" s="20"/>
      <c r="C673" s="44"/>
    </row>
    <row r="674">
      <c r="A674" s="20"/>
      <c r="B674" s="20"/>
      <c r="C674" s="44"/>
    </row>
    <row r="675">
      <c r="A675" s="20"/>
      <c r="B675" s="20"/>
      <c r="C675" s="44"/>
    </row>
    <row r="676">
      <c r="A676" s="20"/>
      <c r="B676" s="20"/>
      <c r="C676" s="44"/>
    </row>
    <row r="677">
      <c r="A677" s="20"/>
      <c r="B677" s="20"/>
      <c r="C677" s="44"/>
    </row>
    <row r="678">
      <c r="A678" s="20"/>
      <c r="B678" s="20"/>
      <c r="C678" s="44"/>
    </row>
    <row r="679">
      <c r="A679" s="20"/>
      <c r="B679" s="20"/>
      <c r="C679" s="44"/>
    </row>
    <row r="680">
      <c r="A680" s="20"/>
      <c r="B680" s="20"/>
      <c r="C680" s="44"/>
    </row>
    <row r="681">
      <c r="A681" s="20"/>
      <c r="B681" s="20"/>
      <c r="C681" s="44"/>
    </row>
    <row r="682">
      <c r="A682" s="20"/>
      <c r="B682" s="20"/>
      <c r="C682" s="44"/>
    </row>
    <row r="683">
      <c r="A683" s="20"/>
      <c r="B683" s="20"/>
      <c r="C683" s="44"/>
    </row>
    <row r="684">
      <c r="A684" s="20"/>
      <c r="B684" s="20"/>
      <c r="C684" s="44"/>
    </row>
    <row r="685">
      <c r="A685" s="20"/>
      <c r="B685" s="20"/>
      <c r="C685" s="44"/>
    </row>
    <row r="686">
      <c r="A686" s="20"/>
      <c r="B686" s="20"/>
      <c r="C686" s="44"/>
    </row>
    <row r="687">
      <c r="A687" s="20"/>
      <c r="B687" s="20"/>
      <c r="C687" s="44"/>
    </row>
    <row r="688">
      <c r="A688" s="20"/>
      <c r="B688" s="20"/>
      <c r="C688" s="44"/>
    </row>
    <row r="689">
      <c r="A689" s="20"/>
      <c r="B689" s="20"/>
      <c r="C689" s="44"/>
    </row>
    <row r="690">
      <c r="A690" s="20"/>
      <c r="B690" s="20"/>
      <c r="C690" s="44"/>
    </row>
    <row r="691">
      <c r="A691" s="20"/>
      <c r="B691" s="20"/>
      <c r="C691" s="44"/>
    </row>
    <row r="692">
      <c r="A692" s="20"/>
      <c r="B692" s="20"/>
      <c r="C692" s="44"/>
    </row>
    <row r="693">
      <c r="A693" s="20"/>
      <c r="B693" s="20"/>
      <c r="C693" s="44"/>
    </row>
    <row r="694">
      <c r="A694" s="20"/>
      <c r="B694" s="20"/>
      <c r="C694" s="44"/>
    </row>
    <row r="695">
      <c r="A695" s="20"/>
      <c r="B695" s="20"/>
      <c r="C695" s="44"/>
    </row>
    <row r="696">
      <c r="A696" s="20"/>
      <c r="B696" s="20"/>
      <c r="C696" s="44"/>
    </row>
    <row r="697">
      <c r="A697" s="20"/>
      <c r="B697" s="20"/>
      <c r="C697" s="44"/>
    </row>
    <row r="698">
      <c r="A698" s="20"/>
      <c r="B698" s="20"/>
      <c r="C698" s="44"/>
    </row>
    <row r="699">
      <c r="A699" s="20"/>
      <c r="B699" s="20"/>
      <c r="C699" s="44"/>
    </row>
    <row r="700">
      <c r="A700" s="20"/>
      <c r="B700" s="20"/>
      <c r="C700" s="44"/>
    </row>
    <row r="701">
      <c r="A701" s="20"/>
      <c r="B701" s="20"/>
      <c r="C701" s="44"/>
    </row>
    <row r="702">
      <c r="A702" s="20"/>
      <c r="B702" s="20"/>
      <c r="C702" s="44"/>
    </row>
    <row r="703">
      <c r="A703" s="20"/>
      <c r="B703" s="20"/>
      <c r="C703" s="44"/>
    </row>
    <row r="704">
      <c r="A704" s="20"/>
      <c r="B704" s="20"/>
      <c r="C704" s="44"/>
    </row>
    <row r="705">
      <c r="A705" s="20"/>
      <c r="B705" s="20"/>
      <c r="C705" s="44"/>
    </row>
    <row r="706">
      <c r="A706" s="20"/>
      <c r="B706" s="20"/>
      <c r="C706" s="44"/>
    </row>
    <row r="707">
      <c r="A707" s="20"/>
      <c r="B707" s="20"/>
      <c r="C707" s="44"/>
    </row>
    <row r="708">
      <c r="A708" s="20"/>
      <c r="B708" s="20"/>
      <c r="C708" s="44"/>
    </row>
    <row r="709">
      <c r="A709" s="20"/>
      <c r="B709" s="20"/>
      <c r="C709" s="44"/>
    </row>
    <row r="710">
      <c r="A710" s="20"/>
      <c r="B710" s="20"/>
      <c r="C710" s="44"/>
    </row>
    <row r="711">
      <c r="A711" s="20"/>
      <c r="B711" s="20"/>
      <c r="C711" s="44"/>
    </row>
    <row r="712">
      <c r="A712" s="20"/>
      <c r="B712" s="20"/>
      <c r="C712" s="44"/>
    </row>
    <row r="713">
      <c r="A713" s="20"/>
      <c r="B713" s="20"/>
      <c r="C713" s="44"/>
    </row>
    <row r="714">
      <c r="A714" s="20"/>
      <c r="B714" s="20"/>
      <c r="C714" s="44"/>
    </row>
    <row r="715">
      <c r="A715" s="20"/>
      <c r="B715" s="20"/>
      <c r="C715" s="44"/>
    </row>
    <row r="716">
      <c r="A716" s="20"/>
      <c r="B716" s="20"/>
      <c r="C716" s="44"/>
    </row>
    <row r="717">
      <c r="A717" s="20"/>
      <c r="B717" s="20"/>
      <c r="C717" s="44"/>
    </row>
    <row r="718">
      <c r="A718" s="20"/>
      <c r="B718" s="20"/>
      <c r="C718" s="44"/>
    </row>
    <row r="719">
      <c r="A719" s="20"/>
      <c r="B719" s="20"/>
      <c r="C719" s="44"/>
    </row>
    <row r="720">
      <c r="A720" s="20"/>
      <c r="B720" s="20"/>
      <c r="C720" s="44"/>
    </row>
    <row r="721">
      <c r="A721" s="20"/>
      <c r="B721" s="20"/>
      <c r="C721" s="44"/>
    </row>
    <row r="722">
      <c r="A722" s="20"/>
      <c r="B722" s="20"/>
      <c r="C722" s="44"/>
    </row>
    <row r="723">
      <c r="A723" s="20"/>
      <c r="B723" s="20"/>
      <c r="C723" s="44"/>
    </row>
    <row r="724">
      <c r="A724" s="20"/>
      <c r="B724" s="20"/>
      <c r="C724" s="44"/>
    </row>
    <row r="725">
      <c r="A725" s="20"/>
      <c r="B725" s="20"/>
      <c r="C725" s="44"/>
    </row>
    <row r="726">
      <c r="A726" s="20"/>
      <c r="B726" s="20"/>
      <c r="C726" s="44"/>
    </row>
    <row r="727">
      <c r="A727" s="20"/>
      <c r="B727" s="20"/>
      <c r="C727" s="44"/>
    </row>
    <row r="728">
      <c r="A728" s="20"/>
      <c r="B728" s="20"/>
      <c r="C728" s="44"/>
    </row>
    <row r="729">
      <c r="A729" s="20"/>
      <c r="B729" s="20"/>
      <c r="C729" s="44"/>
    </row>
    <row r="730">
      <c r="A730" s="20"/>
      <c r="B730" s="20"/>
      <c r="C730" s="44"/>
    </row>
    <row r="731">
      <c r="A731" s="20"/>
      <c r="B731" s="20"/>
      <c r="C731" s="44"/>
    </row>
    <row r="732">
      <c r="A732" s="20"/>
      <c r="B732" s="20"/>
      <c r="C732" s="44"/>
    </row>
    <row r="733">
      <c r="A733" s="20"/>
      <c r="B733" s="20"/>
      <c r="C733" s="44"/>
    </row>
    <row r="734">
      <c r="A734" s="20"/>
      <c r="B734" s="20"/>
      <c r="C734" s="44"/>
    </row>
    <row r="735">
      <c r="A735" s="20"/>
      <c r="B735" s="20"/>
      <c r="C735" s="44"/>
    </row>
    <row r="736">
      <c r="A736" s="20"/>
      <c r="B736" s="20"/>
      <c r="C736" s="44"/>
    </row>
    <row r="737">
      <c r="A737" s="20"/>
      <c r="B737" s="20"/>
      <c r="C737" s="44"/>
    </row>
    <row r="738">
      <c r="A738" s="20"/>
      <c r="B738" s="20"/>
      <c r="C738" s="44"/>
    </row>
    <row r="739">
      <c r="A739" s="20"/>
      <c r="B739" s="20"/>
      <c r="C739" s="44"/>
    </row>
    <row r="740">
      <c r="A740" s="20"/>
      <c r="B740" s="20"/>
      <c r="C740" s="44"/>
    </row>
    <row r="741">
      <c r="A741" s="20"/>
      <c r="B741" s="20"/>
      <c r="C741" s="44"/>
    </row>
    <row r="742">
      <c r="A742" s="20"/>
      <c r="B742" s="20"/>
      <c r="C742" s="44"/>
    </row>
    <row r="743">
      <c r="A743" s="20"/>
      <c r="B743" s="20"/>
      <c r="C743" s="44"/>
    </row>
    <row r="744">
      <c r="A744" s="20"/>
      <c r="B744" s="20"/>
      <c r="C744" s="44"/>
    </row>
    <row r="745">
      <c r="A745" s="20"/>
      <c r="B745" s="20"/>
      <c r="C745" s="44"/>
    </row>
    <row r="746">
      <c r="A746" s="20"/>
      <c r="B746" s="20"/>
      <c r="C746" s="44"/>
    </row>
    <row r="747">
      <c r="A747" s="20"/>
      <c r="B747" s="20"/>
      <c r="C747" s="44"/>
    </row>
    <row r="748">
      <c r="A748" s="20"/>
      <c r="B748" s="20"/>
      <c r="C748" s="44"/>
    </row>
    <row r="749">
      <c r="A749" s="20"/>
      <c r="B749" s="20"/>
      <c r="C749" s="44"/>
    </row>
    <row r="750">
      <c r="A750" s="20"/>
      <c r="B750" s="20"/>
      <c r="C750" s="44"/>
    </row>
    <row r="751">
      <c r="A751" s="20"/>
      <c r="B751" s="20"/>
      <c r="C751" s="44"/>
    </row>
    <row r="752">
      <c r="A752" s="20"/>
      <c r="B752" s="20"/>
      <c r="C752" s="44"/>
    </row>
    <row r="753">
      <c r="A753" s="20"/>
      <c r="B753" s="20"/>
      <c r="C753" s="44"/>
    </row>
    <row r="754">
      <c r="A754" s="20"/>
      <c r="B754" s="20"/>
      <c r="C754" s="44"/>
    </row>
    <row r="755">
      <c r="A755" s="20"/>
      <c r="B755" s="20"/>
      <c r="C755" s="44"/>
    </row>
    <row r="756">
      <c r="A756" s="20"/>
      <c r="B756" s="20"/>
      <c r="C756" s="44"/>
    </row>
    <row r="757">
      <c r="A757" s="20"/>
      <c r="B757" s="20"/>
      <c r="C757" s="44"/>
    </row>
    <row r="758">
      <c r="A758" s="20"/>
      <c r="B758" s="20"/>
      <c r="C758" s="44"/>
    </row>
    <row r="759">
      <c r="A759" s="20"/>
      <c r="B759" s="20"/>
      <c r="C759" s="44"/>
    </row>
    <row r="760">
      <c r="A760" s="20"/>
      <c r="B760" s="20"/>
      <c r="C760" s="44"/>
    </row>
    <row r="761">
      <c r="A761" s="20"/>
      <c r="B761" s="20"/>
      <c r="C761" s="44"/>
    </row>
    <row r="762">
      <c r="A762" s="20"/>
      <c r="B762" s="20"/>
      <c r="C762" s="44"/>
    </row>
    <row r="763">
      <c r="A763" s="20"/>
      <c r="B763" s="20"/>
      <c r="C763" s="44"/>
    </row>
    <row r="764">
      <c r="A764" s="20"/>
      <c r="B764" s="20"/>
      <c r="C764" s="44"/>
    </row>
    <row r="765">
      <c r="A765" s="20"/>
      <c r="B765" s="20"/>
      <c r="C765" s="44"/>
    </row>
    <row r="766">
      <c r="A766" s="20"/>
      <c r="B766" s="20"/>
      <c r="C766" s="44"/>
    </row>
    <row r="767">
      <c r="A767" s="20"/>
      <c r="B767" s="20"/>
      <c r="C767" s="44"/>
    </row>
    <row r="768">
      <c r="A768" s="20"/>
      <c r="B768" s="20"/>
      <c r="C768" s="44"/>
    </row>
    <row r="769">
      <c r="A769" s="20"/>
      <c r="B769" s="20"/>
      <c r="C769" s="44"/>
    </row>
    <row r="770">
      <c r="A770" s="20"/>
      <c r="B770" s="20"/>
      <c r="C770" s="44"/>
    </row>
    <row r="771">
      <c r="A771" s="20"/>
      <c r="B771" s="20"/>
      <c r="C771" s="44"/>
    </row>
    <row r="772">
      <c r="A772" s="20"/>
      <c r="B772" s="20"/>
      <c r="C772" s="44"/>
    </row>
    <row r="773">
      <c r="A773" s="20"/>
      <c r="B773" s="20"/>
      <c r="C773" s="44"/>
    </row>
    <row r="774">
      <c r="A774" s="20"/>
      <c r="B774" s="20"/>
      <c r="C774" s="44"/>
    </row>
    <row r="775">
      <c r="A775" s="20"/>
      <c r="B775" s="20"/>
      <c r="C775" s="44"/>
    </row>
    <row r="776">
      <c r="A776" s="20"/>
      <c r="B776" s="20"/>
      <c r="C776" s="44"/>
    </row>
    <row r="777">
      <c r="A777" s="20"/>
      <c r="B777" s="20"/>
      <c r="C777" s="44"/>
    </row>
    <row r="778">
      <c r="A778" s="20"/>
      <c r="B778" s="20"/>
      <c r="C778" s="44"/>
    </row>
    <row r="779">
      <c r="A779" s="20"/>
      <c r="B779" s="20"/>
      <c r="C779" s="44"/>
    </row>
    <row r="780">
      <c r="A780" s="20"/>
      <c r="B780" s="20"/>
      <c r="C780" s="44"/>
    </row>
    <row r="781">
      <c r="A781" s="20"/>
      <c r="B781" s="20"/>
      <c r="C781" s="44"/>
    </row>
    <row r="782">
      <c r="A782" s="20"/>
      <c r="B782" s="20"/>
      <c r="C782" s="44"/>
    </row>
    <row r="783">
      <c r="A783" s="20"/>
      <c r="B783" s="20"/>
      <c r="C783" s="44"/>
    </row>
    <row r="784">
      <c r="A784" s="20"/>
      <c r="B784" s="20"/>
      <c r="C784" s="44"/>
    </row>
    <row r="785">
      <c r="A785" s="20"/>
      <c r="B785" s="20"/>
      <c r="C785" s="44"/>
    </row>
    <row r="786">
      <c r="A786" s="20"/>
      <c r="B786" s="20"/>
      <c r="C786" s="44"/>
    </row>
    <row r="787">
      <c r="A787" s="20"/>
      <c r="B787" s="20"/>
      <c r="C787" s="44"/>
    </row>
    <row r="788">
      <c r="A788" s="20"/>
      <c r="B788" s="20"/>
      <c r="C788" s="44"/>
    </row>
    <row r="789">
      <c r="A789" s="20"/>
      <c r="B789" s="20"/>
      <c r="C789" s="44"/>
    </row>
    <row r="790">
      <c r="A790" s="20"/>
      <c r="B790" s="20"/>
      <c r="C790" s="44"/>
    </row>
    <row r="791">
      <c r="A791" s="20"/>
      <c r="B791" s="20"/>
      <c r="C791" s="44"/>
    </row>
    <row r="792">
      <c r="A792" s="20"/>
      <c r="B792" s="20"/>
      <c r="C792" s="44"/>
    </row>
    <row r="793">
      <c r="A793" s="20"/>
      <c r="B793" s="20"/>
      <c r="C793" s="44"/>
    </row>
    <row r="794">
      <c r="A794" s="20"/>
      <c r="B794" s="20"/>
      <c r="C794" s="44"/>
    </row>
    <row r="795">
      <c r="A795" s="20"/>
      <c r="B795" s="20"/>
      <c r="C795" s="44"/>
    </row>
    <row r="796">
      <c r="A796" s="20"/>
      <c r="B796" s="20"/>
      <c r="C796" s="44"/>
    </row>
    <row r="797">
      <c r="A797" s="20"/>
      <c r="B797" s="20"/>
      <c r="C797" s="44"/>
    </row>
    <row r="798">
      <c r="A798" s="20"/>
      <c r="B798" s="20"/>
      <c r="C798" s="44"/>
    </row>
    <row r="799">
      <c r="A799" s="20"/>
      <c r="B799" s="20"/>
      <c r="C799" s="44"/>
    </row>
    <row r="800">
      <c r="A800" s="20"/>
      <c r="B800" s="20"/>
      <c r="C800" s="44"/>
    </row>
    <row r="801">
      <c r="A801" s="20"/>
      <c r="B801" s="20"/>
      <c r="C801" s="44"/>
    </row>
    <row r="802">
      <c r="A802" s="20"/>
      <c r="B802" s="20"/>
      <c r="C802" s="44"/>
    </row>
    <row r="803">
      <c r="A803" s="20"/>
      <c r="B803" s="20"/>
      <c r="C803" s="44"/>
    </row>
    <row r="804">
      <c r="A804" s="20"/>
      <c r="B804" s="20"/>
      <c r="C804" s="44"/>
    </row>
    <row r="805">
      <c r="A805" s="20"/>
      <c r="B805" s="20"/>
      <c r="C805" s="44"/>
    </row>
    <row r="806">
      <c r="A806" s="20"/>
      <c r="B806" s="20"/>
      <c r="C806" s="44"/>
    </row>
    <row r="807">
      <c r="A807" s="20"/>
      <c r="B807" s="20"/>
      <c r="C807" s="44"/>
    </row>
    <row r="808">
      <c r="A808" s="20"/>
      <c r="B808" s="20"/>
      <c r="C808" s="44"/>
    </row>
    <row r="809">
      <c r="A809" s="20"/>
      <c r="B809" s="20"/>
      <c r="C809" s="44"/>
    </row>
    <row r="810">
      <c r="A810" s="20"/>
      <c r="B810" s="20"/>
      <c r="C810" s="44"/>
    </row>
    <row r="811">
      <c r="A811" s="20"/>
      <c r="B811" s="20"/>
      <c r="C811" s="44"/>
    </row>
    <row r="812">
      <c r="A812" s="20"/>
      <c r="B812" s="20"/>
      <c r="C812" s="44"/>
    </row>
    <row r="813">
      <c r="A813" s="20"/>
      <c r="B813" s="20"/>
      <c r="C813" s="44"/>
    </row>
    <row r="814">
      <c r="A814" s="20"/>
      <c r="B814" s="20"/>
      <c r="C814" s="44"/>
    </row>
    <row r="815">
      <c r="A815" s="20"/>
      <c r="B815" s="20"/>
      <c r="C815" s="44"/>
    </row>
    <row r="816">
      <c r="A816" s="20"/>
      <c r="B816" s="20"/>
      <c r="C816" s="44"/>
    </row>
    <row r="817">
      <c r="A817" s="20"/>
      <c r="B817" s="20"/>
      <c r="C817" s="44"/>
    </row>
    <row r="818">
      <c r="A818" s="20"/>
      <c r="B818" s="20"/>
      <c r="C818" s="44"/>
    </row>
    <row r="819">
      <c r="A819" s="20"/>
      <c r="B819" s="20"/>
      <c r="C819" s="44"/>
    </row>
    <row r="820">
      <c r="A820" s="20"/>
      <c r="B820" s="20"/>
      <c r="C820" s="44"/>
    </row>
    <row r="821">
      <c r="A821" s="20"/>
      <c r="B821" s="20"/>
      <c r="C821" s="44"/>
    </row>
    <row r="822">
      <c r="A822" s="20"/>
      <c r="B822" s="20"/>
      <c r="C822" s="44"/>
    </row>
    <row r="823">
      <c r="A823" s="20"/>
      <c r="B823" s="20"/>
      <c r="C823" s="44"/>
    </row>
    <row r="824">
      <c r="A824" s="20"/>
      <c r="B824" s="20"/>
      <c r="C824" s="44"/>
    </row>
    <row r="825">
      <c r="A825" s="20"/>
      <c r="B825" s="20"/>
      <c r="C825" s="44"/>
    </row>
    <row r="826">
      <c r="A826" s="20"/>
      <c r="B826" s="20"/>
      <c r="C826" s="44"/>
    </row>
    <row r="827">
      <c r="A827" s="20"/>
      <c r="B827" s="20"/>
      <c r="C827" s="44"/>
    </row>
    <row r="828">
      <c r="A828" s="20"/>
      <c r="B828" s="20"/>
      <c r="C828" s="44"/>
    </row>
    <row r="829">
      <c r="A829" s="20"/>
      <c r="B829" s="20"/>
      <c r="C829" s="44"/>
    </row>
    <row r="830">
      <c r="A830" s="20"/>
      <c r="B830" s="20"/>
      <c r="C830" s="44"/>
    </row>
    <row r="831">
      <c r="A831" s="20"/>
      <c r="B831" s="20"/>
      <c r="C831" s="44"/>
    </row>
    <row r="832">
      <c r="A832" s="20"/>
      <c r="B832" s="20"/>
      <c r="C832" s="44"/>
    </row>
    <row r="833">
      <c r="A833" s="20"/>
      <c r="B833" s="20"/>
      <c r="C833" s="44"/>
    </row>
    <row r="834">
      <c r="A834" s="20"/>
      <c r="B834" s="20"/>
      <c r="C834" s="44"/>
    </row>
    <row r="835">
      <c r="A835" s="20"/>
      <c r="B835" s="20"/>
      <c r="C835" s="44"/>
    </row>
    <row r="836">
      <c r="A836" s="20"/>
      <c r="B836" s="20"/>
      <c r="C836" s="44"/>
    </row>
    <row r="837">
      <c r="A837" s="20"/>
      <c r="B837" s="20"/>
      <c r="C837" s="44"/>
    </row>
    <row r="838">
      <c r="A838" s="20"/>
      <c r="B838" s="20"/>
      <c r="C838" s="44"/>
    </row>
    <row r="839">
      <c r="A839" s="20"/>
      <c r="B839" s="20"/>
      <c r="C839" s="44"/>
    </row>
    <row r="840">
      <c r="A840" s="20"/>
      <c r="B840" s="20"/>
      <c r="C840" s="44"/>
    </row>
    <row r="841">
      <c r="A841" s="20"/>
      <c r="B841" s="20"/>
      <c r="C841" s="44"/>
    </row>
    <row r="842">
      <c r="A842" s="20"/>
      <c r="B842" s="20"/>
      <c r="C842" s="44"/>
    </row>
    <row r="843">
      <c r="A843" s="20"/>
      <c r="B843" s="20"/>
      <c r="C843" s="44"/>
    </row>
    <row r="844">
      <c r="A844" s="20"/>
      <c r="B844" s="20"/>
      <c r="C844" s="44"/>
    </row>
    <row r="845">
      <c r="A845" s="20"/>
      <c r="B845" s="20"/>
      <c r="C845" s="44"/>
    </row>
    <row r="846">
      <c r="A846" s="20"/>
      <c r="B846" s="20"/>
      <c r="C846" s="44"/>
    </row>
    <row r="847">
      <c r="A847" s="20"/>
      <c r="B847" s="20"/>
      <c r="C847" s="44"/>
    </row>
    <row r="848">
      <c r="A848" s="20"/>
      <c r="B848" s="20"/>
      <c r="C848" s="44"/>
    </row>
    <row r="849">
      <c r="A849" s="20"/>
      <c r="B849" s="20"/>
      <c r="C849" s="44"/>
    </row>
    <row r="850">
      <c r="A850" s="20"/>
      <c r="B850" s="20"/>
      <c r="C850" s="44"/>
    </row>
    <row r="851">
      <c r="A851" s="20"/>
      <c r="B851" s="20"/>
      <c r="C851" s="44"/>
    </row>
    <row r="852">
      <c r="A852" s="20"/>
      <c r="B852" s="20"/>
      <c r="C852" s="44"/>
    </row>
    <row r="853">
      <c r="A853" s="20"/>
      <c r="B853" s="20"/>
      <c r="C853" s="44"/>
    </row>
    <row r="854">
      <c r="A854" s="20"/>
      <c r="B854" s="20"/>
      <c r="C854" s="44"/>
    </row>
    <row r="855">
      <c r="A855" s="20"/>
      <c r="B855" s="20"/>
      <c r="C855" s="44"/>
    </row>
    <row r="856">
      <c r="A856" s="20"/>
      <c r="B856" s="20"/>
      <c r="C856" s="44"/>
    </row>
    <row r="857">
      <c r="A857" s="20"/>
      <c r="B857" s="20"/>
      <c r="C857" s="44"/>
    </row>
    <row r="858">
      <c r="A858" s="20"/>
      <c r="B858" s="20"/>
      <c r="C858" s="44"/>
    </row>
    <row r="859">
      <c r="A859" s="20"/>
      <c r="B859" s="20"/>
      <c r="C859" s="44"/>
    </row>
    <row r="860">
      <c r="A860" s="20"/>
      <c r="B860" s="20"/>
      <c r="C860" s="44"/>
    </row>
    <row r="861">
      <c r="A861" s="20"/>
      <c r="B861" s="20"/>
      <c r="C861" s="44"/>
    </row>
    <row r="862">
      <c r="A862" s="20"/>
      <c r="B862" s="20"/>
      <c r="C862" s="44"/>
    </row>
    <row r="863">
      <c r="A863" s="20"/>
      <c r="B863" s="20"/>
      <c r="C863" s="44"/>
    </row>
    <row r="864">
      <c r="A864" s="20"/>
      <c r="B864" s="20"/>
      <c r="C864" s="44"/>
    </row>
    <row r="865">
      <c r="A865" s="20"/>
      <c r="B865" s="20"/>
      <c r="C865" s="44"/>
    </row>
    <row r="866">
      <c r="A866" s="20"/>
      <c r="B866" s="20"/>
      <c r="C866" s="44"/>
    </row>
    <row r="867">
      <c r="A867" s="20"/>
      <c r="B867" s="20"/>
      <c r="C867" s="44"/>
    </row>
    <row r="868">
      <c r="A868" s="20"/>
      <c r="B868" s="20"/>
      <c r="C868" s="44"/>
    </row>
    <row r="869">
      <c r="A869" s="20"/>
      <c r="B869" s="20"/>
      <c r="C869" s="44"/>
    </row>
    <row r="870">
      <c r="A870" s="20"/>
      <c r="B870" s="20"/>
      <c r="C870" s="44"/>
    </row>
    <row r="871">
      <c r="A871" s="20"/>
      <c r="B871" s="20"/>
      <c r="C871" s="44"/>
    </row>
    <row r="872">
      <c r="A872" s="20"/>
      <c r="B872" s="20"/>
      <c r="C872" s="44"/>
    </row>
    <row r="873">
      <c r="A873" s="20"/>
      <c r="B873" s="20"/>
      <c r="C873" s="44"/>
    </row>
    <row r="874">
      <c r="A874" s="20"/>
      <c r="B874" s="20"/>
      <c r="C874" s="44"/>
    </row>
    <row r="875">
      <c r="A875" s="20"/>
      <c r="B875" s="20"/>
      <c r="C875" s="44"/>
    </row>
    <row r="876">
      <c r="A876" s="20"/>
      <c r="B876" s="20"/>
      <c r="C876" s="44"/>
    </row>
    <row r="877">
      <c r="A877" s="20"/>
      <c r="B877" s="20"/>
      <c r="C877" s="44"/>
    </row>
    <row r="878">
      <c r="A878" s="20"/>
      <c r="B878" s="20"/>
      <c r="C878" s="44"/>
    </row>
    <row r="879">
      <c r="A879" s="20"/>
      <c r="B879" s="20"/>
      <c r="C879" s="44"/>
    </row>
    <row r="880">
      <c r="A880" s="20"/>
      <c r="B880" s="20"/>
      <c r="C880" s="44"/>
    </row>
    <row r="881">
      <c r="A881" s="20"/>
      <c r="B881" s="20"/>
      <c r="C881" s="44"/>
    </row>
    <row r="882">
      <c r="A882" s="20"/>
      <c r="B882" s="20"/>
      <c r="C882" s="44"/>
    </row>
    <row r="883">
      <c r="A883" s="20"/>
      <c r="B883" s="20"/>
      <c r="C883" s="44"/>
    </row>
    <row r="884">
      <c r="A884" s="20"/>
      <c r="B884" s="20"/>
      <c r="C884" s="44"/>
    </row>
    <row r="885">
      <c r="A885" s="20"/>
      <c r="B885" s="20"/>
      <c r="C885" s="44"/>
    </row>
    <row r="886">
      <c r="A886" s="20"/>
      <c r="B886" s="20"/>
      <c r="C886" s="44"/>
    </row>
    <row r="887">
      <c r="A887" s="20"/>
      <c r="B887" s="20"/>
      <c r="C887" s="44"/>
    </row>
    <row r="888">
      <c r="A888" s="20"/>
      <c r="B888" s="20"/>
      <c r="C888" s="44"/>
    </row>
    <row r="889">
      <c r="A889" s="20"/>
      <c r="B889" s="20"/>
      <c r="C889" s="44"/>
    </row>
    <row r="890">
      <c r="A890" s="20"/>
      <c r="B890" s="20"/>
      <c r="C890" s="44"/>
    </row>
    <row r="891">
      <c r="A891" s="20"/>
      <c r="B891" s="20"/>
      <c r="C891" s="44"/>
    </row>
    <row r="892">
      <c r="A892" s="20"/>
      <c r="B892" s="20"/>
      <c r="C892" s="44"/>
    </row>
    <row r="893">
      <c r="A893" s="20"/>
      <c r="B893" s="20"/>
      <c r="C893" s="44"/>
    </row>
    <row r="894">
      <c r="A894" s="20"/>
      <c r="B894" s="20"/>
      <c r="C894" s="44"/>
    </row>
    <row r="895">
      <c r="A895" s="20"/>
      <c r="B895" s="20"/>
      <c r="C895" s="44"/>
    </row>
    <row r="896">
      <c r="A896" s="20"/>
      <c r="B896" s="20"/>
      <c r="C896" s="44"/>
    </row>
    <row r="897">
      <c r="A897" s="20"/>
      <c r="B897" s="20"/>
      <c r="C897" s="44"/>
    </row>
    <row r="898">
      <c r="A898" s="20"/>
      <c r="B898" s="20"/>
      <c r="C898" s="44"/>
    </row>
    <row r="899">
      <c r="A899" s="20"/>
      <c r="B899" s="20"/>
      <c r="C899" s="44"/>
    </row>
    <row r="900">
      <c r="A900" s="20"/>
      <c r="B900" s="20"/>
      <c r="C900" s="44"/>
    </row>
    <row r="901">
      <c r="A901" s="20"/>
      <c r="B901" s="20"/>
      <c r="C901" s="44"/>
    </row>
    <row r="902">
      <c r="A902" s="20"/>
      <c r="B902" s="20"/>
      <c r="C902" s="44"/>
    </row>
    <row r="903">
      <c r="A903" s="20"/>
      <c r="B903" s="20"/>
      <c r="C903" s="44"/>
    </row>
    <row r="904">
      <c r="A904" s="20"/>
      <c r="B904" s="20"/>
      <c r="C904" s="44"/>
    </row>
    <row r="905">
      <c r="A905" s="20"/>
      <c r="B905" s="20"/>
      <c r="C905" s="44"/>
    </row>
    <row r="906">
      <c r="A906" s="20"/>
      <c r="B906" s="20"/>
      <c r="C906" s="44"/>
    </row>
    <row r="907">
      <c r="A907" s="20"/>
      <c r="B907" s="20"/>
      <c r="C907" s="44"/>
    </row>
    <row r="908">
      <c r="A908" s="20"/>
      <c r="B908" s="20"/>
      <c r="C908" s="44"/>
    </row>
    <row r="909">
      <c r="A909" s="20"/>
      <c r="B909" s="20"/>
      <c r="C909" s="44"/>
    </row>
    <row r="910">
      <c r="A910" s="20"/>
      <c r="B910" s="20"/>
      <c r="C910" s="44"/>
    </row>
    <row r="911">
      <c r="A911" s="20"/>
      <c r="B911" s="20"/>
      <c r="C911" s="44"/>
    </row>
    <row r="912">
      <c r="A912" s="20"/>
      <c r="B912" s="20"/>
      <c r="C912" s="44"/>
    </row>
    <row r="913">
      <c r="A913" s="20"/>
      <c r="B913" s="20"/>
      <c r="C913" s="44"/>
    </row>
    <row r="914">
      <c r="A914" s="20"/>
      <c r="B914" s="20"/>
      <c r="C914" s="44"/>
    </row>
    <row r="915">
      <c r="A915" s="20"/>
      <c r="B915" s="20"/>
      <c r="C915" s="44"/>
    </row>
    <row r="916">
      <c r="A916" s="20"/>
      <c r="B916" s="20"/>
      <c r="C916" s="44"/>
    </row>
    <row r="917">
      <c r="A917" s="20"/>
      <c r="B917" s="20"/>
      <c r="C917" s="44"/>
    </row>
    <row r="918">
      <c r="A918" s="20"/>
      <c r="B918" s="20"/>
      <c r="C918" s="44"/>
    </row>
    <row r="919">
      <c r="A919" s="20"/>
      <c r="B919" s="20"/>
      <c r="C919" s="44"/>
    </row>
    <row r="920">
      <c r="A920" s="20"/>
      <c r="B920" s="20"/>
      <c r="C920" s="44"/>
    </row>
    <row r="921">
      <c r="A921" s="20"/>
      <c r="B921" s="20"/>
      <c r="C921" s="44"/>
    </row>
    <row r="922">
      <c r="A922" s="20"/>
      <c r="B922" s="20"/>
      <c r="C922" s="44"/>
    </row>
    <row r="923">
      <c r="A923" s="20"/>
      <c r="B923" s="20"/>
      <c r="C923" s="44"/>
    </row>
    <row r="924">
      <c r="A924" s="20"/>
      <c r="B924" s="20"/>
      <c r="C924" s="44"/>
    </row>
    <row r="925">
      <c r="A925" s="20"/>
      <c r="B925" s="20"/>
      <c r="C925" s="44"/>
    </row>
    <row r="926">
      <c r="A926" s="20"/>
      <c r="B926" s="20"/>
      <c r="C926" s="44"/>
    </row>
    <row r="927">
      <c r="A927" s="20"/>
      <c r="B927" s="20"/>
      <c r="C927" s="44"/>
    </row>
    <row r="928">
      <c r="A928" s="20"/>
      <c r="B928" s="20"/>
      <c r="C928" s="44"/>
    </row>
    <row r="929">
      <c r="A929" s="20"/>
      <c r="B929" s="20"/>
      <c r="C929" s="44"/>
    </row>
    <row r="930">
      <c r="A930" s="20"/>
      <c r="B930" s="20"/>
      <c r="C930" s="44"/>
    </row>
    <row r="931">
      <c r="A931" s="20"/>
      <c r="B931" s="20"/>
      <c r="C931" s="44"/>
    </row>
    <row r="932">
      <c r="A932" s="20"/>
      <c r="B932" s="20"/>
      <c r="C932" s="44"/>
    </row>
    <row r="933">
      <c r="A933" s="20"/>
      <c r="B933" s="20"/>
      <c r="C933" s="44"/>
    </row>
    <row r="934">
      <c r="A934" s="20"/>
      <c r="B934" s="20"/>
      <c r="C934" s="44"/>
    </row>
    <row r="935">
      <c r="A935" s="20"/>
      <c r="B935" s="20"/>
      <c r="C935" s="44"/>
    </row>
    <row r="936">
      <c r="A936" s="20"/>
      <c r="B936" s="20"/>
      <c r="C936" s="44"/>
    </row>
    <row r="937">
      <c r="A937" s="20"/>
      <c r="B937" s="20"/>
      <c r="C937" s="44"/>
    </row>
    <row r="938">
      <c r="A938" s="20"/>
      <c r="B938" s="20"/>
      <c r="C938" s="44"/>
    </row>
    <row r="939">
      <c r="A939" s="20"/>
      <c r="B939" s="20"/>
      <c r="C939" s="44"/>
    </row>
    <row r="940">
      <c r="A940" s="20"/>
      <c r="B940" s="20"/>
      <c r="C940" s="44"/>
    </row>
    <row r="941">
      <c r="A941" s="20"/>
      <c r="B941" s="20"/>
      <c r="C941" s="44"/>
    </row>
    <row r="942">
      <c r="A942" s="20"/>
      <c r="B942" s="20"/>
      <c r="C942" s="44"/>
    </row>
    <row r="943">
      <c r="A943" s="20"/>
      <c r="B943" s="20"/>
      <c r="C943" s="44"/>
    </row>
    <row r="944">
      <c r="A944" s="20"/>
      <c r="B944" s="20"/>
      <c r="C944" s="44"/>
    </row>
    <row r="945">
      <c r="A945" s="20"/>
      <c r="B945" s="20"/>
      <c r="C945" s="44"/>
    </row>
    <row r="946">
      <c r="A946" s="20"/>
      <c r="B946" s="20"/>
      <c r="C946" s="44"/>
    </row>
    <row r="947">
      <c r="A947" s="20"/>
      <c r="B947" s="20"/>
      <c r="C947" s="44"/>
    </row>
    <row r="948">
      <c r="A948" s="20"/>
      <c r="B948" s="20"/>
      <c r="C948" s="44"/>
    </row>
    <row r="949">
      <c r="A949" s="20"/>
      <c r="B949" s="20"/>
      <c r="C949" s="44"/>
    </row>
    <row r="950">
      <c r="A950" s="20"/>
      <c r="B950" s="20"/>
      <c r="C950" s="44"/>
    </row>
    <row r="951">
      <c r="A951" s="20"/>
      <c r="B951" s="20"/>
      <c r="C951" s="44"/>
    </row>
    <row r="952">
      <c r="A952" s="20"/>
      <c r="B952" s="20"/>
      <c r="C952" s="44"/>
    </row>
    <row r="953">
      <c r="A953" s="20"/>
      <c r="B953" s="20"/>
      <c r="C953" s="44"/>
    </row>
    <row r="954">
      <c r="A954" s="20"/>
      <c r="B954" s="20"/>
      <c r="C954" s="44"/>
    </row>
    <row r="955">
      <c r="A955" s="20"/>
      <c r="B955" s="20"/>
      <c r="C955" s="44"/>
    </row>
    <row r="956">
      <c r="A956" s="20"/>
      <c r="B956" s="20"/>
      <c r="C956" s="44"/>
    </row>
    <row r="957">
      <c r="A957" s="20"/>
      <c r="B957" s="20"/>
      <c r="C957" s="44"/>
    </row>
    <row r="958">
      <c r="A958" s="20"/>
      <c r="B958" s="20"/>
      <c r="C958" s="44"/>
    </row>
    <row r="959">
      <c r="A959" s="20"/>
      <c r="B959" s="20"/>
      <c r="C959" s="44"/>
    </row>
    <row r="960">
      <c r="A960" s="20"/>
      <c r="B960" s="20"/>
      <c r="C960" s="44"/>
    </row>
    <row r="961">
      <c r="A961" s="20"/>
      <c r="B961" s="20"/>
      <c r="C961" s="44"/>
    </row>
    <row r="962">
      <c r="A962" s="20"/>
      <c r="B962" s="20"/>
      <c r="C962" s="44"/>
    </row>
    <row r="963">
      <c r="A963" s="20"/>
      <c r="B963" s="20"/>
      <c r="C963" s="44"/>
    </row>
    <row r="964">
      <c r="A964" s="20"/>
      <c r="B964" s="20"/>
      <c r="C964" s="44"/>
    </row>
    <row r="965">
      <c r="A965" s="20"/>
      <c r="B965" s="20"/>
      <c r="C965" s="44"/>
    </row>
    <row r="966">
      <c r="A966" s="20"/>
      <c r="B966" s="20"/>
      <c r="C966" s="44"/>
    </row>
    <row r="967">
      <c r="A967" s="20"/>
      <c r="B967" s="20"/>
      <c r="C967" s="44"/>
    </row>
    <row r="968">
      <c r="A968" s="20"/>
      <c r="B968" s="20"/>
      <c r="C968" s="44"/>
    </row>
    <row r="969">
      <c r="A969" s="20"/>
      <c r="B969" s="20"/>
      <c r="C969" s="44"/>
    </row>
    <row r="970">
      <c r="A970" s="20"/>
      <c r="B970" s="20"/>
      <c r="C970" s="44"/>
    </row>
    <row r="971">
      <c r="A971" s="20"/>
      <c r="B971" s="20"/>
      <c r="C971" s="44"/>
    </row>
    <row r="972">
      <c r="A972" s="20"/>
      <c r="B972" s="20"/>
      <c r="C972" s="44"/>
    </row>
    <row r="973">
      <c r="A973" s="20"/>
      <c r="B973" s="20"/>
      <c r="C973" s="44"/>
    </row>
    <row r="974">
      <c r="A974" s="20"/>
      <c r="B974" s="20"/>
      <c r="C974" s="44"/>
    </row>
    <row r="975">
      <c r="A975" s="20"/>
      <c r="B975" s="20"/>
      <c r="C975" s="44"/>
    </row>
    <row r="976">
      <c r="A976" s="20"/>
      <c r="B976" s="20"/>
      <c r="C976" s="44"/>
    </row>
    <row r="977">
      <c r="A977" s="20"/>
      <c r="B977" s="20"/>
      <c r="C977" s="44"/>
    </row>
    <row r="978">
      <c r="A978" s="20"/>
      <c r="B978" s="20"/>
      <c r="C978" s="44"/>
    </row>
    <row r="979">
      <c r="A979" s="20"/>
      <c r="B979" s="20"/>
      <c r="C979" s="44"/>
    </row>
    <row r="980">
      <c r="A980" s="20"/>
      <c r="B980" s="20"/>
      <c r="C980" s="44"/>
    </row>
    <row r="981">
      <c r="A981" s="20"/>
      <c r="B981" s="20"/>
      <c r="C981" s="44"/>
    </row>
    <row r="982">
      <c r="A982" s="20"/>
      <c r="B982" s="20"/>
      <c r="C982" s="44"/>
    </row>
    <row r="983">
      <c r="A983" s="20"/>
      <c r="B983" s="20"/>
      <c r="C983" s="44"/>
    </row>
    <row r="984">
      <c r="A984" s="20"/>
      <c r="B984" s="20"/>
      <c r="C984" s="44"/>
    </row>
    <row r="985">
      <c r="A985" s="20"/>
      <c r="B985" s="20"/>
      <c r="C985" s="44"/>
    </row>
    <row r="986">
      <c r="A986" s="20"/>
      <c r="B986" s="20"/>
      <c r="C986" s="44"/>
    </row>
    <row r="987">
      <c r="A987" s="20"/>
      <c r="B987" s="20"/>
      <c r="C987" s="44"/>
    </row>
    <row r="988">
      <c r="A988" s="20"/>
      <c r="B988" s="20"/>
      <c r="C988" s="44"/>
    </row>
    <row r="989">
      <c r="A989" s="20"/>
      <c r="B989" s="20"/>
      <c r="C989" s="44"/>
    </row>
    <row r="990">
      <c r="A990" s="20"/>
      <c r="B990" s="20"/>
      <c r="C990" s="44"/>
    </row>
    <row r="991">
      <c r="A991" s="20"/>
      <c r="B991" s="20"/>
      <c r="C991" s="44"/>
    </row>
    <row r="992">
      <c r="A992" s="20"/>
      <c r="B992" s="20"/>
      <c r="C992" s="44"/>
    </row>
    <row r="993">
      <c r="A993" s="20"/>
      <c r="B993" s="20"/>
      <c r="C993" s="44"/>
    </row>
    <row r="994">
      <c r="A994" s="20"/>
      <c r="B994" s="20"/>
      <c r="C994" s="44"/>
    </row>
    <row r="995">
      <c r="A995" s="20"/>
      <c r="B995" s="20"/>
      <c r="C995" s="44"/>
    </row>
    <row r="996">
      <c r="A996" s="20"/>
      <c r="B996" s="20"/>
      <c r="C996" s="44"/>
    </row>
    <row r="997">
      <c r="A997" s="20"/>
      <c r="B997" s="20"/>
      <c r="C997" s="44"/>
    </row>
    <row r="998">
      <c r="A998" s="20"/>
      <c r="B998" s="20"/>
      <c r="C998" s="44"/>
    </row>
    <row r="999">
      <c r="A999" s="20"/>
      <c r="B999" s="20"/>
      <c r="C999" s="44"/>
    </row>
  </sheetData>
  <mergeCells count="6">
    <mergeCell ref="A1:F1"/>
    <mergeCell ref="A2:A3"/>
    <mergeCell ref="B2:B3"/>
    <mergeCell ref="C2:C3"/>
    <mergeCell ref="D2:E2"/>
    <mergeCell ref="F2:F3"/>
  </mergeCells>
  <conditionalFormatting sqref="D2:E203">
    <cfRule type="containsText" dxfId="0" priority="1" operator="containsText" text="Đã">
      <formula>NOT(ISERROR(SEARCH(("Đã"),(D2))))</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0.43"/>
    <col customWidth="1" min="2" max="2" width="10.29"/>
    <col customWidth="1" min="3" max="3" width="15.29"/>
    <col customWidth="1" min="4" max="4" width="10.29"/>
    <col customWidth="1" min="5" max="5" width="12.29"/>
    <col customWidth="1" min="6" max="6" width="49.71"/>
    <col customWidth="1" min="7" max="7" width="22.57"/>
    <col customWidth="1" min="8" max="8" width="22.71"/>
    <col customWidth="1" min="9" max="9" width="10.86"/>
    <col customWidth="1" min="10" max="10" width="32.43"/>
    <col customWidth="1" min="16" max="16" width="26.14"/>
    <col customWidth="1" min="18" max="18" width="28.43"/>
  </cols>
  <sheetData>
    <row r="1">
      <c r="A1" s="45"/>
      <c r="B1" s="45"/>
      <c r="C1" s="45"/>
      <c r="D1" s="45"/>
      <c r="E1" s="45"/>
      <c r="F1" s="45"/>
      <c r="G1" s="45"/>
      <c r="H1" s="45"/>
      <c r="I1" s="45"/>
      <c r="J1" s="45"/>
      <c r="K1" s="45"/>
      <c r="L1" s="45"/>
      <c r="M1" s="45"/>
      <c r="N1" s="45"/>
      <c r="O1" s="45"/>
      <c r="P1" s="45"/>
      <c r="Q1" s="45"/>
      <c r="R1" s="45"/>
      <c r="S1" s="46"/>
      <c r="T1" s="46"/>
      <c r="U1" s="46"/>
      <c r="V1" s="46"/>
      <c r="W1" s="46"/>
      <c r="X1" s="46"/>
      <c r="Y1" s="46"/>
      <c r="Z1" s="46"/>
      <c r="AA1" s="46"/>
    </row>
    <row r="2" ht="39.0" customHeight="1">
      <c r="A2" s="47" t="s">
        <v>1041</v>
      </c>
      <c r="B2" s="47" t="s">
        <v>1042</v>
      </c>
      <c r="C2" s="47" t="s">
        <v>1043</v>
      </c>
      <c r="D2" s="47" t="s">
        <v>1044</v>
      </c>
      <c r="E2" s="47" t="s">
        <v>3</v>
      </c>
      <c r="F2" s="47" t="s">
        <v>1045</v>
      </c>
      <c r="G2" s="47" t="s">
        <v>1046</v>
      </c>
      <c r="H2" s="47"/>
      <c r="I2" s="48"/>
      <c r="J2" s="49"/>
      <c r="K2" s="48"/>
      <c r="L2" s="50" t="s">
        <v>1047</v>
      </c>
      <c r="M2" s="48"/>
      <c r="N2" s="48"/>
      <c r="O2" s="51"/>
      <c r="P2" s="52" t="s">
        <v>1048</v>
      </c>
      <c r="Q2" s="52" t="s">
        <v>1049</v>
      </c>
      <c r="R2" s="52" t="s">
        <v>1050</v>
      </c>
      <c r="S2" s="46"/>
      <c r="T2" s="46"/>
      <c r="U2" s="46"/>
      <c r="V2" s="46"/>
      <c r="W2" s="46"/>
      <c r="X2" s="46"/>
      <c r="Y2" s="46"/>
      <c r="Z2" s="46"/>
      <c r="AA2" s="46"/>
    </row>
    <row r="3" ht="20.25" customHeight="1">
      <c r="A3" s="47"/>
      <c r="B3" s="47"/>
      <c r="C3" s="47"/>
      <c r="D3" s="47"/>
      <c r="E3" s="47"/>
      <c r="F3" s="47"/>
      <c r="G3" s="47"/>
      <c r="H3" s="47" t="s">
        <v>1051</v>
      </c>
      <c r="I3" s="47" t="s">
        <v>1052</v>
      </c>
      <c r="J3" s="47" t="s">
        <v>1053</v>
      </c>
      <c r="K3" s="49" t="s">
        <v>1054</v>
      </c>
      <c r="L3" s="53"/>
      <c r="M3" s="53"/>
      <c r="N3" s="53"/>
      <c r="O3" s="6"/>
      <c r="P3" s="54"/>
      <c r="Q3" s="54"/>
      <c r="R3" s="54"/>
      <c r="S3" s="46"/>
      <c r="T3" s="46"/>
      <c r="U3" s="46"/>
      <c r="V3" s="46"/>
      <c r="W3" s="46"/>
      <c r="X3" s="46"/>
      <c r="Y3" s="46"/>
      <c r="Z3" s="46"/>
      <c r="AA3" s="46"/>
    </row>
    <row r="4">
      <c r="A4" s="55">
        <f>IFERROR(__xludf.DUMMYFUNCTION("IMPORTRANGE(""https://docs.google.com/spreadsheets/d/1_9FdH8DJ2bjjUwjGf1fHr3oRzHw-xzQGVKsmWzuKHD8"",""Preview!A4:B1000"")"),44256.46052246528)</f>
        <v>44256.46052</v>
      </c>
      <c r="B4" s="56">
        <f>IFERROR(__xludf.DUMMYFUNCTION("""COMPUTED_VALUE"""),44246.0)</f>
        <v>44246</v>
      </c>
      <c r="C4" s="46"/>
      <c r="D4" s="46" t="str">
        <f>IFERROR(__xludf.DUMMYFUNCTION("IMPORTRANGE(""https://docs.google.com/spreadsheets/d/1_9FdH8DJ2bjjUwjGf1fHr3oRzHw-xzQGVKsmWzuKHD8"",""Preview!C4:Q1000"")"),"HaNh")</f>
        <v>HaNh</v>
      </c>
      <c r="E4" s="57" t="str">
        <f>IFERROR(__xludf.DUMMYFUNCTION("""COMPUTED_VALUE"""),"56HGL03517")</f>
        <v>56HGL03517</v>
      </c>
      <c r="F4" s="46" t="str">
        <f>IFERROR(__xludf.DUMMYFUNCTION("""COMPUTED_VALUE"""),"KCN Đồng Văn I, Duy Tiên, Hà Nam")</f>
        <v>KCN Đồng Văn I, Duy Tiên, Hà Nam</v>
      </c>
      <c r="G4" s="46" t="str">
        <f>IFERROR(__xludf.DUMMYFUNCTION("""COMPUTED_VALUE"""),"Máy không lên ứng dụng")</f>
        <v>Máy không lên ứng dụng</v>
      </c>
      <c r="H4" s="46"/>
      <c r="I4" s="46"/>
      <c r="J4" s="46" t="str">
        <f>IFERROR(__xludf.DUMMYFUNCTION("""COMPUTED_VALUE"""),"Khởi động lại máy")</f>
        <v>Khởi động lại máy</v>
      </c>
      <c r="K4" s="46"/>
      <c r="L4" s="46"/>
      <c r="M4" s="46"/>
      <c r="N4" s="46"/>
      <c r="O4" s="46"/>
      <c r="P4" s="46"/>
      <c r="Q4" s="46" t="str">
        <f>IFERROR(__xludf.DUMMYFUNCTION("""COMPUTED_VALUE"""),"Hoàn thành")</f>
        <v>Hoàn thành</v>
      </c>
      <c r="R4" s="58"/>
      <c r="S4" s="46"/>
      <c r="T4" s="46"/>
      <c r="U4" s="46"/>
      <c r="V4" s="46"/>
      <c r="W4" s="46"/>
      <c r="X4" s="46"/>
      <c r="Y4" s="46"/>
      <c r="Z4" s="46"/>
      <c r="AA4" s="46"/>
    </row>
    <row r="5">
      <c r="A5" s="55">
        <f>IFERROR(__xludf.DUMMYFUNCTION("""COMPUTED_VALUE"""),44256.46189909722)</f>
        <v>44256.4619</v>
      </c>
      <c r="B5" s="56">
        <f>IFERROR(__xludf.DUMMYFUNCTION("""COMPUTED_VALUE"""),44247.0)</f>
        <v>44247</v>
      </c>
      <c r="C5" s="46"/>
      <c r="D5" s="46" t="str">
        <f>IFERROR(__xludf.DUMMYFUNCTION("""COMPUTED_VALUE"""),"HaNH")</f>
        <v>HaNH</v>
      </c>
      <c r="E5" s="57" t="str">
        <f>IFERROR(__xludf.DUMMYFUNCTION("""COMPUTED_VALUE"""),"5310105484")</f>
        <v>5310105484</v>
      </c>
      <c r="F5" s="46" t="str">
        <f>IFERROR(__xludf.DUMMYFUNCTION("""COMPUTED_VALUE"""),"Số 34 Tô Hiệu, phường Nguyễn Trãi, quận Hà Đông")</f>
        <v>Số 34 Tô Hiệu, phường Nguyễn Trãi, quận Hà Đông</v>
      </c>
      <c r="G5" s="46" t="str">
        <f>IFERROR(__xludf.DUMMYFUNCTION("""COMPUTED_VALUE"""),"Hay kẹt tiền 100k ở miếng nhựa trong")</f>
        <v>Hay kẹt tiền 100k ở miếng nhựa trong</v>
      </c>
      <c r="H5" s="46"/>
      <c r="I5" s="46"/>
      <c r="J5" s="46" t="str">
        <f>IFERROR(__xludf.DUMMYFUNCTION("""COMPUTED_VALUE"""),"Vệ sinh lạị bptt, nắn lại răng lược tầng 100k (trục đen tầng 100 mòn lêch)")</f>
        <v>Vệ sinh lạị bptt, nắn lại răng lược tầng 100k (trục đen tầng 100 mòn lêch)</v>
      </c>
      <c r="K5" s="46"/>
      <c r="L5" s="46"/>
      <c r="M5" s="46"/>
      <c r="N5" s="46"/>
      <c r="O5" s="46"/>
      <c r="P5" s="46"/>
      <c r="Q5" s="46" t="str">
        <f>IFERROR(__xludf.DUMMYFUNCTION("""COMPUTED_VALUE"""),"Hoàn thành")</f>
        <v>Hoàn thành</v>
      </c>
      <c r="R5" s="46"/>
      <c r="S5" s="46"/>
      <c r="T5" s="46"/>
      <c r="U5" s="46"/>
      <c r="V5" s="46"/>
      <c r="W5" s="46"/>
      <c r="X5" s="46"/>
      <c r="Y5" s="46"/>
      <c r="Z5" s="46"/>
      <c r="AA5" s="46"/>
    </row>
    <row r="6">
      <c r="A6" s="55">
        <f>IFERROR(__xludf.DUMMYFUNCTION("""COMPUTED_VALUE"""),44256.462600694445)</f>
        <v>44256.4626</v>
      </c>
      <c r="B6" s="56">
        <f>IFERROR(__xludf.DUMMYFUNCTION("""COMPUTED_VALUE"""),44251.0)</f>
        <v>44251</v>
      </c>
      <c r="C6" s="46"/>
      <c r="D6" s="46" t="str">
        <f>IFERROR(__xludf.DUMMYFUNCTION("""COMPUTED_VALUE"""),"HaNH")</f>
        <v>HaNH</v>
      </c>
      <c r="E6" s="57" t="str">
        <f>IFERROR(__xludf.DUMMYFUNCTION("""COMPUTED_VALUE"""),"56DW500035")</f>
        <v>56DW500035</v>
      </c>
      <c r="F6" s="46" t="str">
        <f>IFERROR(__xludf.DUMMYFUNCTION("""COMPUTED_VALUE"""),"")</f>
        <v/>
      </c>
      <c r="G6" s="46" t="str">
        <f>IFERROR(__xludf.DUMMYFUNCTION("""COMPUTED_VALUE"""),"không rút được tầng 50k")</f>
        <v>không rút được tầng 50k</v>
      </c>
      <c r="H6" s="46"/>
      <c r="I6" s="46"/>
      <c r="J6" s="46" t="str">
        <f>IFERROR(__xludf.DUMMYFUNCTION("""COMPUTED_VALUE"""),"vệ sinh lại bộ phận trả tiền")</f>
        <v>vệ sinh lại bộ phận trả tiền</v>
      </c>
      <c r="K6" s="46"/>
      <c r="L6" s="46"/>
      <c r="M6" s="46"/>
      <c r="N6" s="46"/>
      <c r="O6" s="46"/>
      <c r="P6" s="46"/>
      <c r="Q6" s="46" t="str">
        <f>IFERROR(__xludf.DUMMYFUNCTION("""COMPUTED_VALUE"""),"Hoàn thành")</f>
        <v>Hoàn thành</v>
      </c>
      <c r="R6" s="46"/>
      <c r="S6" s="46"/>
      <c r="T6" s="46"/>
      <c r="U6" s="46"/>
      <c r="V6" s="46"/>
      <c r="W6" s="46"/>
      <c r="X6" s="46"/>
      <c r="Y6" s="46"/>
      <c r="Z6" s="46"/>
      <c r="AA6" s="46"/>
    </row>
    <row r="7">
      <c r="A7" s="55">
        <f>IFERROR(__xludf.DUMMYFUNCTION("""COMPUTED_VALUE"""),44256.46293725695)</f>
        <v>44256.46294</v>
      </c>
      <c r="B7" s="56">
        <f>IFERROR(__xludf.DUMMYFUNCTION("""COMPUTED_VALUE"""),44252.0)</f>
        <v>44252</v>
      </c>
      <c r="C7" s="46"/>
      <c r="D7" s="46" t="str">
        <f>IFERROR(__xludf.DUMMYFUNCTION("""COMPUTED_VALUE"""),"HaNH")</f>
        <v>HaNH</v>
      </c>
      <c r="E7" s="57" t="str">
        <f>IFERROR(__xludf.DUMMYFUNCTION("""COMPUTED_VALUE"""),"56HGL00296")</f>
        <v>56HGL00296</v>
      </c>
      <c r="F7" s="46" t="str">
        <f>IFERROR(__xludf.DUMMYFUNCTION("""COMPUTED_VALUE"""),"Trụ sở CN online Võ Chí Công Tầng 1, tòa nhà N01T4 Khu Ngoại giao đoàn, Phường Xuân Tảo, Bắc Từ Liêm, Hà Nội")</f>
        <v>Trụ sở CN online Võ Chí Công Tầng 1, tòa nhà N01T4 Khu Ngoại giao đoàn, Phường Xuân Tảo, Bắc Từ Liêm, Hà Nội</v>
      </c>
      <c r="G7" s="46" t="str">
        <f>IFERROR(__xludf.DUMMYFUNCTION("""COMPUTED_VALUE"""),"Ghost lại HDH")</f>
        <v>Ghost lại HDH</v>
      </c>
      <c r="H7" s="46"/>
      <c r="I7" s="46"/>
      <c r="J7" s="46"/>
      <c r="K7" s="46"/>
      <c r="L7" s="46"/>
      <c r="M7" s="46"/>
      <c r="N7" s="46"/>
      <c r="O7" s="46"/>
      <c r="P7" s="46"/>
      <c r="Q7" s="46" t="str">
        <f>IFERROR(__xludf.DUMMYFUNCTION("""COMPUTED_VALUE"""),"Hoàn thành")</f>
        <v>Hoàn thành</v>
      </c>
      <c r="R7" s="46"/>
      <c r="S7" s="46"/>
      <c r="T7" s="46"/>
      <c r="U7" s="46"/>
      <c r="V7" s="46"/>
      <c r="W7" s="46"/>
      <c r="X7" s="46"/>
      <c r="Y7" s="46"/>
      <c r="Z7" s="46"/>
      <c r="AA7" s="46"/>
    </row>
    <row r="8">
      <c r="A8" s="55">
        <f>IFERROR(__xludf.DUMMYFUNCTION("""COMPUTED_VALUE"""),44256.46325601852)</f>
        <v>44256.46326</v>
      </c>
      <c r="B8" s="56">
        <f>IFERROR(__xludf.DUMMYFUNCTION("""COMPUTED_VALUE"""),44252.0)</f>
        <v>44252</v>
      </c>
      <c r="C8" s="46"/>
      <c r="D8" s="46" t="str">
        <f>IFERROR(__xludf.DUMMYFUNCTION("""COMPUTED_VALUE"""),"HaNH")</f>
        <v>HaNH</v>
      </c>
      <c r="E8" s="57" t="str">
        <f>IFERROR(__xludf.DUMMYFUNCTION("""COMPUTED_VALUE"""),"56HG806309")</f>
        <v>56HG806309</v>
      </c>
      <c r="F8" s="46" t="str">
        <f>IFERROR(__xludf.DUMMYFUNCTION("""COMPUTED_VALUE"""),"Số 238 Hoàng Quốc Việt, Cầu Giấy, Hà Nội")</f>
        <v>Số 238 Hoàng Quốc Việt, Cầu Giấy, Hà Nội</v>
      </c>
      <c r="G8" s="46" t="str">
        <f>IFERROR(__xludf.DUMMYFUNCTION("""COMPUTED_VALUE"""),"Ghost lại HDH")</f>
        <v>Ghost lại HDH</v>
      </c>
      <c r="H8" s="46"/>
      <c r="I8" s="46"/>
      <c r="J8" s="46"/>
      <c r="K8" s="46"/>
      <c r="L8" s="46"/>
      <c r="M8" s="46"/>
      <c r="N8" s="46"/>
      <c r="O8" s="46"/>
      <c r="P8" s="46"/>
      <c r="Q8" s="46" t="str">
        <f>IFERROR(__xludf.DUMMYFUNCTION("""COMPUTED_VALUE"""),"Hoàn thành")</f>
        <v>Hoàn thành</v>
      </c>
      <c r="R8" s="46"/>
      <c r="S8" s="46"/>
      <c r="T8" s="46"/>
      <c r="U8" s="46"/>
      <c r="V8" s="46"/>
      <c r="W8" s="46"/>
      <c r="X8" s="46"/>
      <c r="Y8" s="46"/>
      <c r="Z8" s="46"/>
      <c r="AA8" s="46"/>
    </row>
    <row r="9">
      <c r="A9" s="55">
        <f>IFERROR(__xludf.DUMMYFUNCTION("""COMPUTED_VALUE"""),44256.46395984954)</f>
        <v>44256.46396</v>
      </c>
      <c r="B9" s="56">
        <f>IFERROR(__xludf.DUMMYFUNCTION("""COMPUTED_VALUE"""),44252.0)</f>
        <v>44252</v>
      </c>
      <c r="C9" s="46"/>
      <c r="D9" s="46" t="str">
        <f>IFERROR(__xludf.DUMMYFUNCTION("""COMPUTED_VALUE"""),"HaNH")</f>
        <v>HaNH</v>
      </c>
      <c r="E9" s="57" t="str">
        <f>IFERROR(__xludf.DUMMYFUNCTION("""COMPUTED_VALUE"""),"5300381795")</f>
        <v>5300381795</v>
      </c>
      <c r="F9" s="46" t="str">
        <f>IFERROR(__xludf.DUMMYFUNCTION("""COMPUTED_VALUE"""),"37 Nguyễn Đăng Đạo, P. Suối Hoa, Bắc Ninh")</f>
        <v>37 Nguyễn Đăng Đạo, P. Suối Hoa, Bắc Ninh</v>
      </c>
      <c r="G9" s="46" t="str">
        <f>IFERROR(__xludf.DUMMYFUNCTION("""COMPUTED_VALUE"""),"Ghost lại HDH")</f>
        <v>Ghost lại HDH</v>
      </c>
      <c r="H9" s="46"/>
      <c r="I9" s="46"/>
      <c r="J9" s="46"/>
      <c r="K9" s="46"/>
      <c r="L9" s="46"/>
      <c r="M9" s="46"/>
      <c r="N9" s="46"/>
      <c r="O9" s="46"/>
      <c r="P9" s="46"/>
      <c r="Q9" s="46" t="str">
        <f>IFERROR(__xludf.DUMMYFUNCTION("""COMPUTED_VALUE"""),"Hoàn thành")</f>
        <v>Hoàn thành</v>
      </c>
      <c r="R9" s="46"/>
      <c r="S9" s="46"/>
      <c r="T9" s="46"/>
      <c r="U9" s="46"/>
      <c r="V9" s="46"/>
      <c r="W9" s="46"/>
      <c r="X9" s="46"/>
      <c r="Y9" s="46"/>
      <c r="Z9" s="46"/>
      <c r="AA9" s="46"/>
    </row>
    <row r="10">
      <c r="A10" s="55">
        <f>IFERROR(__xludf.DUMMYFUNCTION("""COMPUTED_VALUE"""),44256.464472175925)</f>
        <v>44256.46447</v>
      </c>
      <c r="B10" s="56">
        <f>IFERROR(__xludf.DUMMYFUNCTION("""COMPUTED_VALUE"""),44253.0)</f>
        <v>44253</v>
      </c>
      <c r="C10" s="46"/>
      <c r="D10" s="46" t="str">
        <f>IFERROR(__xludf.DUMMYFUNCTION("""COMPUTED_VALUE"""),"HaNH")</f>
        <v>HaNH</v>
      </c>
      <c r="E10" s="57" t="str">
        <f>IFERROR(__xludf.DUMMYFUNCTION("""COMPUTED_VALUE"""),"5300377957")</f>
        <v>5300377957</v>
      </c>
      <c r="F10" s="46" t="str">
        <f>IFERROR(__xludf.DUMMYFUNCTION("""COMPUTED_VALUE"""),"37 Nguyễn Đăng Đạo, P. Suối Hoa, Bắc Ninh")</f>
        <v>37 Nguyễn Đăng Đạo, P. Suối Hoa, Bắc Ninh</v>
      </c>
      <c r="G10" s="46" t="str">
        <f>IFERROR(__xludf.DUMMYFUNCTION("""COMPUTED_VALUE"""),"Lỗi Bptt")</f>
        <v>Lỗi Bptt</v>
      </c>
      <c r="H10" s="46"/>
      <c r="I10" s="46"/>
      <c r="J10" s="46" t="str">
        <f>IFERROR(__xludf.DUMMYFUNCTION("""COMPUTED_VALUE"""),"Gỡ kẹt tiền, thay 01 trục đỡ")</f>
        <v>Gỡ kẹt tiền, thay 01 trục đỡ</v>
      </c>
      <c r="K10" s="46"/>
      <c r="L10" s="46"/>
      <c r="M10" s="46"/>
      <c r="N10" s="46"/>
      <c r="O10" s="46"/>
      <c r="P10" s="46"/>
      <c r="Q10" s="46" t="str">
        <f>IFERROR(__xludf.DUMMYFUNCTION("""COMPUTED_VALUE"""),"Hoàn thành")</f>
        <v>Hoàn thành</v>
      </c>
      <c r="R10" s="46"/>
      <c r="S10" s="46"/>
      <c r="T10" s="46"/>
      <c r="U10" s="46"/>
      <c r="V10" s="46"/>
      <c r="W10" s="46"/>
      <c r="X10" s="46"/>
      <c r="Y10" s="46"/>
      <c r="Z10" s="46"/>
      <c r="AA10" s="46"/>
    </row>
    <row r="11">
      <c r="A11" s="55">
        <f>IFERROR(__xludf.DUMMYFUNCTION("""COMPUTED_VALUE"""),44257.45808447916)</f>
        <v>44257.45808</v>
      </c>
      <c r="B11" s="56">
        <f>IFERROR(__xludf.DUMMYFUNCTION("""COMPUTED_VALUE"""),44257.0)</f>
        <v>44257</v>
      </c>
      <c r="C11" s="46"/>
      <c r="D11" s="46" t="str">
        <f>IFERROR(__xludf.DUMMYFUNCTION("""COMPUTED_VALUE"""),"thangnx")</f>
        <v>thangnx</v>
      </c>
      <c r="E11" s="57" t="str">
        <f>IFERROR(__xludf.DUMMYFUNCTION("""COMPUTED_VALUE"""),"5300380271")</f>
        <v>5300380271</v>
      </c>
      <c r="F11" s="46" t="str">
        <f>IFERROR(__xludf.DUMMYFUNCTION("""COMPUTED_VALUE"""),"Tiểu khu 2 - Thị trấn Thắng - H. Hiệp Hòa - Bắc Giang")</f>
        <v>Tiểu khu 2 - Thị trấn Thắng - H. Hiệp Hòa - Bắc Giang</v>
      </c>
      <c r="G11" s="46" t="str">
        <f>IFERROR(__xludf.DUMMYFUNCTION("""COMPUTED_VALUE"""),"lỗi 2-8")</f>
        <v>lỗi 2-8</v>
      </c>
      <c r="H11" s="46"/>
      <c r="I11" s="46"/>
      <c r="J11" s="46"/>
      <c r="K11" s="46" t="str">
        <f>IFERROR(__xludf.DUMMYFUNCTION("""COMPUTED_VALUE"""),"01 shutter")</f>
        <v>01 shutter</v>
      </c>
      <c r="L11" s="46"/>
      <c r="M11" s="46"/>
      <c r="N11" s="46"/>
      <c r="O11" s="46"/>
      <c r="P11" s="46"/>
      <c r="Q11" s="46" t="str">
        <f>IFERROR(__xludf.DUMMYFUNCTION("""COMPUTED_VALUE"""),"Hoàn thành")</f>
        <v>Hoàn thành</v>
      </c>
      <c r="R11" s="46"/>
      <c r="S11" s="46"/>
      <c r="T11" s="46"/>
      <c r="U11" s="46"/>
      <c r="V11" s="46"/>
      <c r="W11" s="46"/>
      <c r="X11" s="46"/>
      <c r="Y11" s="46"/>
      <c r="Z11" s="46"/>
      <c r="AA11" s="46"/>
    </row>
    <row r="12">
      <c r="A12" s="55">
        <f>IFERROR(__xludf.DUMMYFUNCTION("""COMPUTED_VALUE"""),44257.48375782407)</f>
        <v>44257.48376</v>
      </c>
      <c r="B12" s="56">
        <f>IFERROR(__xludf.DUMMYFUNCTION("""COMPUTED_VALUE"""),44257.0)</f>
        <v>44257</v>
      </c>
      <c r="C12" s="59" t="str">
        <f t="shared" ref="C12:C36" si="1">if(A12-B12&gt;2,"Báo cáo muộn","")</f>
        <v/>
      </c>
      <c r="D12" s="46" t="str">
        <f>IFERROR(__xludf.DUMMYFUNCTION("""COMPUTED_VALUE"""),"Duclb")</f>
        <v>Duclb</v>
      </c>
      <c r="E12" s="57" t="str">
        <f>IFERROR(__xludf.DUMMYFUNCTION("""COMPUTED_VALUE"""),"5310107047")</f>
        <v>5310107047</v>
      </c>
      <c r="F12" s="46" t="str">
        <f>IFERROR(__xludf.DUMMYFUNCTION("""COMPUTED_VALUE"""),"Siêu thị DABACO, đường Lý Thái Tổ, TP. Bắc Ninh")</f>
        <v>Siêu thị DABACO, đường Lý Thái Tổ, TP. Bắc Ninh</v>
      </c>
      <c r="G12" s="46" t="str">
        <f>IFERROR(__xludf.DUMMYFUNCTION("""COMPUTED_VALUE"""),"Lỗi tầng 50k")</f>
        <v>Lỗi tầng 50k</v>
      </c>
      <c r="H12" s="46"/>
      <c r="I12" s="46" t="str">
        <f>IFERROR(__xludf.DUMMYFUNCTION("""COMPUTED_VALUE"""),"Bảo trì")</f>
        <v>Bảo trì</v>
      </c>
      <c r="J12" s="46"/>
      <c r="K12" s="46" t="str">
        <f>IFERROR(__xludf.DUMMYFUNCTION("""COMPUTED_VALUE"""),"03 pick")</f>
        <v>03 pick</v>
      </c>
      <c r="L12" s="46"/>
      <c r="M12" s="46"/>
      <c r="N12" s="46"/>
      <c r="O12" s="46"/>
      <c r="P12" s="46"/>
      <c r="Q12" s="46" t="str">
        <f>IFERROR(__xludf.DUMMYFUNCTION("""COMPUTED_VALUE"""),"Hoàn thành")</f>
        <v>Hoàn thành</v>
      </c>
      <c r="R12" s="46"/>
      <c r="S12" s="46"/>
      <c r="T12" s="46"/>
      <c r="U12" s="46"/>
      <c r="V12" s="46"/>
      <c r="W12" s="46"/>
      <c r="X12" s="46"/>
      <c r="Y12" s="46"/>
      <c r="Z12" s="46"/>
      <c r="AA12" s="46"/>
    </row>
    <row r="13">
      <c r="A13" s="55">
        <f>IFERROR(__xludf.DUMMYFUNCTION("""COMPUTED_VALUE"""),44258.37317707176)</f>
        <v>44258.37318</v>
      </c>
      <c r="B13" s="56">
        <f>IFERROR(__xludf.DUMMYFUNCTION("""COMPUTED_VALUE"""),44257.0)</f>
        <v>44257</v>
      </c>
      <c r="C13" s="59" t="str">
        <f t="shared" si="1"/>
        <v/>
      </c>
      <c r="D13" s="46" t="str">
        <f>IFERROR(__xludf.DUMMYFUNCTION("""COMPUTED_VALUE"""),"thangnx")</f>
        <v>thangnx</v>
      </c>
      <c r="E13" s="57" t="str">
        <f>IFERROR(__xludf.DUMMYFUNCTION("""COMPUTED_VALUE"""),"5310182690")</f>
        <v>5310182690</v>
      </c>
      <c r="F13" s="46" t="str">
        <f>IFERROR(__xludf.DUMMYFUNCTION("""COMPUTED_VALUE"""),"Xã Tân Sơn, huyện Kim Bảng, tỉnh Hà Nam")</f>
        <v>Xã Tân Sơn, huyện Kim Bảng, tỉnh Hà Nam</v>
      </c>
      <c r="G13" s="46" t="str">
        <f>IFERROR(__xludf.DUMMYFUNCTION("""COMPUTED_VALUE"""),"Đứt dây cuaroa, bảo trì")</f>
        <v>Đứt dây cuaroa, bảo trì</v>
      </c>
      <c r="H13" s="46"/>
      <c r="I13" s="46" t="str">
        <f>IFERROR(__xludf.DUMMYFUNCTION("""COMPUTED_VALUE"""),"Bảo trì")</f>
        <v>Bảo trì</v>
      </c>
      <c r="J13" s="46"/>
      <c r="K13" s="46" t="str">
        <f>IFERROR(__xludf.DUMMYFUNCTION("""COMPUTED_VALUE"""),"01 đôi dây cuaroa")</f>
        <v>01 đôi dây cuaroa</v>
      </c>
      <c r="L13" s="46" t="str">
        <f>IFERROR(__xludf.DUMMYFUNCTION("""COMPUTED_VALUE"""),"01 trục cuốn")</f>
        <v>01 trục cuốn</v>
      </c>
      <c r="M13" s="46" t="str">
        <f>IFERROR(__xludf.DUMMYFUNCTION("""COMPUTED_VALUE"""),"01 trục đỡ")</f>
        <v>01 trục đỡ</v>
      </c>
      <c r="N13" s="46"/>
      <c r="O13" s="46"/>
      <c r="P13" s="46"/>
      <c r="Q13" s="46" t="str">
        <f>IFERROR(__xludf.DUMMYFUNCTION("""COMPUTED_VALUE"""),"Hoàn thành")</f>
        <v>Hoàn thành</v>
      </c>
      <c r="R13" s="46"/>
      <c r="S13" s="46"/>
      <c r="T13" s="46"/>
      <c r="U13" s="46"/>
      <c r="V13" s="46"/>
      <c r="W13" s="46"/>
      <c r="X13" s="46"/>
      <c r="Y13" s="46"/>
      <c r="Z13" s="46"/>
      <c r="AA13" s="46"/>
    </row>
    <row r="14">
      <c r="A14" s="55">
        <f>IFERROR(__xludf.DUMMYFUNCTION("""COMPUTED_VALUE"""),44258.62586892361)</f>
        <v>44258.62587</v>
      </c>
      <c r="B14" s="56">
        <f>IFERROR(__xludf.DUMMYFUNCTION("""COMPUTED_VALUE"""),44250.0)</f>
        <v>44250</v>
      </c>
      <c r="C14" s="59" t="str">
        <f t="shared" si="1"/>
        <v>Báo cáo muộn</v>
      </c>
      <c r="D14" s="46" t="str">
        <f>IFERROR(__xludf.DUMMYFUNCTION("""COMPUTED_VALUE"""),"Bannt")</f>
        <v>Bannt</v>
      </c>
      <c r="E14" s="57" t="str">
        <f>IFERROR(__xludf.DUMMYFUNCTION("""COMPUTED_VALUE"""),"5300378031")</f>
        <v>5300378031</v>
      </c>
      <c r="F14" s="46" t="str">
        <f>IFERROR(__xludf.DUMMYFUNCTION("""COMPUTED_VALUE"""),"Trụ sở NHNo Hoành Bồ, Khu 4 thị trấn Trới, Hoành Bồ, Quảng Ninh")</f>
        <v>Trụ sở NHNo Hoành Bồ, Khu 4 thị trấn Trới, Hoành Bồ, Quảng Ninh</v>
      </c>
      <c r="G14" s="46" t="str">
        <f>IFERROR(__xludf.DUMMYFUNCTION("""COMPUTED_VALUE"""),"Không lên tiền 200k")</f>
        <v>Không lên tiền 200k</v>
      </c>
      <c r="H14" s="46"/>
      <c r="I14" s="46"/>
      <c r="J14" s="46" t="str">
        <f>IFERROR(__xludf.DUMMYFUNCTION("""COMPUTED_VALUE"""),"Bảo trì bptt và 2 bộ khay tiền")</f>
        <v>Bảo trì bptt và 2 bộ khay tiền</v>
      </c>
      <c r="K14" s="46"/>
      <c r="L14" s="46"/>
      <c r="M14" s="46"/>
      <c r="N14" s="46"/>
      <c r="O14" s="46"/>
      <c r="P14" s="46"/>
      <c r="Q14" s="46" t="str">
        <f>IFERROR(__xludf.DUMMYFUNCTION("""COMPUTED_VALUE"""),"Hoàn thành")</f>
        <v>Hoàn thành</v>
      </c>
      <c r="R14" s="46"/>
      <c r="S14" s="46"/>
      <c r="T14" s="46"/>
      <c r="U14" s="46"/>
      <c r="V14" s="46"/>
      <c r="W14" s="46"/>
      <c r="X14" s="46"/>
      <c r="Y14" s="46"/>
      <c r="Z14" s="46"/>
      <c r="AA14" s="46"/>
    </row>
    <row r="15">
      <c r="A15" s="55">
        <f>IFERROR(__xludf.DUMMYFUNCTION("""COMPUTED_VALUE"""),44258.62659115741)</f>
        <v>44258.62659</v>
      </c>
      <c r="B15" s="56">
        <f>IFERROR(__xludf.DUMMYFUNCTION("""COMPUTED_VALUE"""),44256.0)</f>
        <v>44256</v>
      </c>
      <c r="C15" s="59" t="str">
        <f t="shared" si="1"/>
        <v>Báo cáo muộn</v>
      </c>
      <c r="D15" s="46" t="str">
        <f>IFERROR(__xludf.DUMMYFUNCTION("""COMPUTED_VALUE"""),"Bannt")</f>
        <v>Bannt</v>
      </c>
      <c r="E15" s="57" t="str">
        <f>IFERROR(__xludf.DUMMYFUNCTION("""COMPUTED_VALUE"""),"5300381795")</f>
        <v>5300381795</v>
      </c>
      <c r="F15" s="46" t="str">
        <f>IFERROR(__xludf.DUMMYFUNCTION("""COMPUTED_VALUE"""),"37 Nguyễn Đăng Đạo, P. Suối Hoa, Bắc Ninh")</f>
        <v>37 Nguyễn Đăng Đạo, P. Suối Hoa, Bắc Ninh</v>
      </c>
      <c r="G15" s="46" t="str">
        <f>IFERROR(__xludf.DUMMYFUNCTION("""COMPUTED_VALUE"""),"Lỗi đầu đọc thẻ, bảo trì định kỳ")</f>
        <v>Lỗi đầu đọc thẻ, bảo trì định kỳ</v>
      </c>
      <c r="H15" s="46"/>
      <c r="I15" s="46" t="str">
        <f>IFERROR(__xludf.DUMMYFUNCTION("""COMPUTED_VALUE"""),"Bảo trì")</f>
        <v>Bảo trì</v>
      </c>
      <c r="J15" s="46" t="str">
        <f>IFERROR(__xludf.DUMMYFUNCTION("""COMPUTED_VALUE"""),"Bảo trì toàn bộ máy atm")</f>
        <v>Bảo trì toàn bộ máy atm</v>
      </c>
      <c r="K15" s="46"/>
      <c r="L15" s="46"/>
      <c r="M15" s="46"/>
      <c r="N15" s="46"/>
      <c r="O15" s="46"/>
      <c r="P15" s="46"/>
      <c r="Q15" s="46" t="str">
        <f>IFERROR(__xludf.DUMMYFUNCTION("""COMPUTED_VALUE"""),"Hoàn thành")</f>
        <v>Hoàn thành</v>
      </c>
      <c r="R15" s="46"/>
      <c r="S15" s="46"/>
      <c r="T15" s="46"/>
      <c r="U15" s="46"/>
      <c r="V15" s="46"/>
      <c r="W15" s="46"/>
      <c r="X15" s="46"/>
      <c r="Y15" s="46"/>
      <c r="Z15" s="46"/>
      <c r="AA15" s="46"/>
    </row>
    <row r="16">
      <c r="A16" s="55">
        <f>IFERROR(__xludf.DUMMYFUNCTION("""COMPUTED_VALUE"""),44258.6470409375)</f>
        <v>44258.64704</v>
      </c>
      <c r="B16" s="56">
        <f>IFERROR(__xludf.DUMMYFUNCTION("""COMPUTED_VALUE"""),44258.0)</f>
        <v>44258</v>
      </c>
      <c r="C16" s="59" t="str">
        <f t="shared" si="1"/>
        <v/>
      </c>
      <c r="D16" s="46" t="str">
        <f>IFERROR(__xludf.DUMMYFUNCTION("""COMPUTED_VALUE"""),"thangnx")</f>
        <v>thangnx</v>
      </c>
      <c r="E16" s="57" t="str">
        <f>IFERROR(__xludf.DUMMYFUNCTION("""COMPUTED_VALUE"""),"5310105833")</f>
        <v>5310105833</v>
      </c>
      <c r="F16" s="46" t="str">
        <f>IFERROR(__xludf.DUMMYFUNCTION("""COMPUTED_VALUE"""),"Agribank huyện Thanh Miện, số 163 Nguyễn Lương Bằng, thị trấn Thanh Miện, huyện Thanh Miện, Hải Dương")</f>
        <v>Agribank huyện Thanh Miện, số 163 Nguyễn Lương Bằng, thị trấn Thanh Miện, huyện Thanh Miện, Hải Dương</v>
      </c>
      <c r="G16" s="46" t="str">
        <f>IFERROR(__xludf.DUMMYFUNCTION("""COMPUTED_VALUE"""),"Bảo trì")</f>
        <v>Bảo trì</v>
      </c>
      <c r="H16" s="46"/>
      <c r="I16" s="46"/>
      <c r="J16" s="46"/>
      <c r="K16" s="46"/>
      <c r="L16" s="46"/>
      <c r="M16" s="46"/>
      <c r="N16" s="46"/>
      <c r="O16" s="46"/>
      <c r="P16" s="46"/>
      <c r="Q16" s="46" t="str">
        <f>IFERROR(__xludf.DUMMYFUNCTION("""COMPUTED_VALUE"""),"Hoàn thành")</f>
        <v>Hoàn thành</v>
      </c>
      <c r="R16" s="46"/>
      <c r="S16" s="46"/>
      <c r="T16" s="46"/>
      <c r="U16" s="46"/>
      <c r="V16" s="46"/>
      <c r="W16" s="46"/>
      <c r="X16" s="46"/>
      <c r="Y16" s="46"/>
      <c r="Z16" s="46"/>
      <c r="AA16" s="46"/>
    </row>
    <row r="17">
      <c r="A17" s="55">
        <f>IFERROR(__xludf.DUMMYFUNCTION("""COMPUTED_VALUE"""),44259.35435314815)</f>
        <v>44259.35435</v>
      </c>
      <c r="B17" s="56">
        <f>IFERROR(__xludf.DUMMYFUNCTION("""COMPUTED_VALUE"""),44258.0)</f>
        <v>44258</v>
      </c>
      <c r="C17" s="59" t="str">
        <f t="shared" si="1"/>
        <v/>
      </c>
      <c r="D17" s="46" t="str">
        <f>IFERROR(__xludf.DUMMYFUNCTION("""COMPUTED_VALUE"""),"tunt")</f>
        <v>tunt</v>
      </c>
      <c r="E17" s="57" t="str">
        <f>IFERROR(__xludf.DUMMYFUNCTION("""COMPUTED_VALUE"""),"5310182407")</f>
        <v>5310182407</v>
      </c>
      <c r="F17" s="46" t="str">
        <f>IFERROR(__xludf.DUMMYFUNCTION("""COMPUTED_VALUE"""),"Thôn Trung tâm, xã Bản Lầu, H Mường Khương, Lào Cai")</f>
        <v>Thôn Trung tâm, xã Bản Lầu, H Mường Khương, Lào Cai</v>
      </c>
      <c r="G17" s="46" t="str">
        <f>IFERROR(__xludf.DUMMYFUNCTION("""COMPUTED_VALUE"""),"Lỗi đầu đọc thẻ, bảo trì")</f>
        <v>Lỗi đầu đọc thẻ, bảo trì</v>
      </c>
      <c r="H17" s="46"/>
      <c r="I17" s="46" t="str">
        <f>IFERROR(__xludf.DUMMYFUNCTION("""COMPUTED_VALUE"""),"Bảo trì")</f>
        <v>Bảo trì</v>
      </c>
      <c r="J17" s="46" t="str">
        <f>IFERROR(__xludf.DUMMYFUNCTION("""COMPUTED_VALUE"""),"Thay thế đầu đọc thẻ, bảo trì")</f>
        <v>Thay thế đầu đọc thẻ, bảo trì</v>
      </c>
      <c r="K17" s="46"/>
      <c r="L17" s="46" t="str">
        <f>IFERROR(__xludf.DUMMYFUNCTION("""COMPUTED_VALUE"""),"01 đầu đọc thẻ")</f>
        <v>01 đầu đọc thẻ</v>
      </c>
      <c r="M17" s="46"/>
      <c r="N17" s="46"/>
      <c r="O17" s="46"/>
      <c r="P17" s="46"/>
      <c r="Q17" s="46" t="str">
        <f>IFERROR(__xludf.DUMMYFUNCTION("""COMPUTED_VALUE"""),"Hoàn thành")</f>
        <v>Hoàn thành</v>
      </c>
      <c r="R17" s="46"/>
      <c r="S17" s="46"/>
      <c r="T17" s="46"/>
      <c r="U17" s="46"/>
      <c r="V17" s="46"/>
      <c r="W17" s="46"/>
      <c r="X17" s="46"/>
      <c r="Y17" s="46"/>
      <c r="Z17" s="46"/>
      <c r="AA17" s="46"/>
    </row>
    <row r="18">
      <c r="A18" s="55">
        <f>IFERROR(__xludf.DUMMYFUNCTION("""COMPUTED_VALUE"""),44259.355107905096)</f>
        <v>44259.35511</v>
      </c>
      <c r="B18" s="56">
        <f>IFERROR(__xludf.DUMMYFUNCTION("""COMPUTED_VALUE"""),44258.0)</f>
        <v>44258</v>
      </c>
      <c r="C18" s="59" t="str">
        <f t="shared" si="1"/>
        <v/>
      </c>
      <c r="D18" s="46" t="str">
        <f>IFERROR(__xludf.DUMMYFUNCTION("""COMPUTED_VALUE"""),"tunt")</f>
        <v>tunt</v>
      </c>
      <c r="E18" s="57" t="str">
        <f>IFERROR(__xludf.DUMMYFUNCTION("""COMPUTED_VALUE"""),"5300380747")</f>
        <v>5300380747</v>
      </c>
      <c r="F18" s="46" t="str">
        <f>IFERROR(__xludf.DUMMYFUNCTION("""COMPUTED_VALUE"""),"Số 9 Nguyễn Cảnh Chân - Ba Đình - Hà Nội")</f>
        <v>Số 9 Nguyễn Cảnh Chân - Ba Đình - Hà Nội</v>
      </c>
      <c r="G18" s="46" t="str">
        <f>IFERROR(__xludf.DUMMYFUNCTION("""COMPUTED_VALUE"""),"Bảo trì")</f>
        <v>Bảo trì</v>
      </c>
      <c r="H18" s="46"/>
      <c r="I18" s="46" t="str">
        <f>IFERROR(__xludf.DUMMYFUNCTION("""COMPUTED_VALUE"""),"Bảo trì")</f>
        <v>Bảo trì</v>
      </c>
      <c r="J18" s="46" t="str">
        <f>IFERROR(__xludf.DUMMYFUNCTION("""COMPUTED_VALUE"""),"Bảo trì")</f>
        <v>Bảo trì</v>
      </c>
      <c r="K18" s="46"/>
      <c r="L18" s="46"/>
      <c r="M18" s="46"/>
      <c r="N18" s="46"/>
      <c r="O18" s="46"/>
      <c r="P18" s="46" t="str">
        <f>IFERROR(__xludf.DUMMYFUNCTION("""COMPUTED_VALUE"""),"Cáp Clamp trùng, cần thay thế sắp tới")</f>
        <v>Cáp Clamp trùng, cần thay thế sắp tới</v>
      </c>
      <c r="Q18" s="46" t="str">
        <f>IFERROR(__xludf.DUMMYFUNCTION("""COMPUTED_VALUE"""),"Hoàn thành")</f>
        <v>Hoàn thành</v>
      </c>
      <c r="R18" s="46"/>
      <c r="S18" s="46"/>
      <c r="T18" s="46"/>
      <c r="U18" s="46"/>
      <c r="V18" s="46"/>
      <c r="W18" s="46"/>
      <c r="X18" s="46"/>
      <c r="Y18" s="46"/>
      <c r="Z18" s="46"/>
      <c r="AA18" s="46"/>
    </row>
    <row r="19">
      <c r="A19" s="55">
        <f>IFERROR(__xludf.DUMMYFUNCTION("""COMPUTED_VALUE"""),44259.82162297454)</f>
        <v>44259.82162</v>
      </c>
      <c r="B19" s="56">
        <f>IFERROR(__xludf.DUMMYFUNCTION("""COMPUTED_VALUE"""),44256.0)</f>
        <v>44256</v>
      </c>
      <c r="C19" s="59" t="str">
        <f t="shared" si="1"/>
        <v>Báo cáo muộn</v>
      </c>
      <c r="D19" s="46" t="str">
        <f>IFERROR(__xludf.DUMMYFUNCTION("""COMPUTED_VALUE"""),"Tuanva")</f>
        <v>Tuanva</v>
      </c>
      <c r="E19" s="57" t="str">
        <f>IFERROR(__xludf.DUMMYFUNCTION("""COMPUTED_VALUE"""),"5300380399")</f>
        <v>5300380399</v>
      </c>
      <c r="F19" s="46" t="str">
        <f>IFERROR(__xludf.DUMMYFUNCTION("""COMPUTED_VALUE"""),"Đường Thừa Dụ - Thị trấn Ninh Giang - H. Ninh Giang - T. Hải Dương")</f>
        <v>Đường Thừa Dụ - Thị trấn Ninh Giang - H. Ninh Giang - T. Hải Dương</v>
      </c>
      <c r="G19" s="46" t="str">
        <f>IFERROR(__xludf.DUMMYFUNCTION("""COMPUTED_VALUE"""),"Máy báo lỗi 2.8")</f>
        <v>Máy báo lỗi 2.8</v>
      </c>
      <c r="H19" s="46"/>
      <c r="I19" s="46"/>
      <c r="J19" s="46" t="str">
        <f>IFERROR(__xludf.DUMMYFUNCTION("""COMPUTED_VALUE"""),"Thay cửa shutter")</f>
        <v>Thay cửa shutter</v>
      </c>
      <c r="K19" s="46" t="str">
        <f>IFERROR(__xludf.DUMMYFUNCTION("""COMPUTED_VALUE"""),"01 cửa shutter")</f>
        <v>01 cửa shutter</v>
      </c>
      <c r="L19" s="46"/>
      <c r="M19" s="46"/>
      <c r="N19" s="46"/>
      <c r="O19" s="46"/>
      <c r="P19" s="46"/>
      <c r="Q19" s="46" t="str">
        <f>IFERROR(__xludf.DUMMYFUNCTION("""COMPUTED_VALUE"""),"Hoàn thành")</f>
        <v>Hoàn thành</v>
      </c>
      <c r="R19" s="46"/>
      <c r="S19" s="46"/>
      <c r="T19" s="46"/>
      <c r="U19" s="46"/>
      <c r="V19" s="46"/>
      <c r="W19" s="46"/>
      <c r="X19" s="46"/>
      <c r="Y19" s="46"/>
      <c r="Z19" s="46"/>
      <c r="AA19" s="46"/>
    </row>
    <row r="20">
      <c r="A20" s="55">
        <f>IFERROR(__xludf.DUMMYFUNCTION("""COMPUTED_VALUE"""),44259.822839201384)</f>
        <v>44259.82284</v>
      </c>
      <c r="B20" s="56">
        <f>IFERROR(__xludf.DUMMYFUNCTION("""COMPUTED_VALUE"""),44256.0)</f>
        <v>44256</v>
      </c>
      <c r="C20" s="59" t="str">
        <f t="shared" si="1"/>
        <v>Báo cáo muộn</v>
      </c>
      <c r="D20" s="46" t="str">
        <f>IFERROR(__xludf.DUMMYFUNCTION("""COMPUTED_VALUE"""),"Tuanva")</f>
        <v>Tuanva</v>
      </c>
      <c r="E20" s="57" t="str">
        <f>IFERROR(__xludf.DUMMYFUNCTION("""COMPUTED_VALUE"""),"5300381788")</f>
        <v>5300381788</v>
      </c>
      <c r="F20" s="46" t="str">
        <f>IFERROR(__xludf.DUMMYFUNCTION("""COMPUTED_VALUE"""),"146 phố Môi, thị trấn Môi, Thanh Hóa")</f>
        <v>146 phố Môi, thị trấn Môi, Thanh Hóa</v>
      </c>
      <c r="G20" s="46" t="str">
        <f>IFERROR(__xludf.DUMMYFUNCTION("""COMPUTED_VALUE"""),"Lỗi phần mềm")</f>
        <v>Lỗi phần mềm</v>
      </c>
      <c r="H20" s="46"/>
      <c r="I20" s="46"/>
      <c r="J20" s="46" t="str">
        <f>IFERROR(__xludf.DUMMYFUNCTION("""COMPUTED_VALUE"""),"Ghost lại máy")</f>
        <v>Ghost lại máy</v>
      </c>
      <c r="K20" s="46"/>
      <c r="L20" s="46"/>
      <c r="M20" s="46"/>
      <c r="N20" s="46"/>
      <c r="O20" s="46"/>
      <c r="P20" s="46"/>
      <c r="Q20" s="46" t="str">
        <f>IFERROR(__xludf.DUMMYFUNCTION("""COMPUTED_VALUE"""),"Hoàn thành")</f>
        <v>Hoàn thành</v>
      </c>
      <c r="R20" s="46"/>
      <c r="S20" s="46"/>
      <c r="T20" s="46"/>
      <c r="U20" s="46"/>
      <c r="V20" s="46"/>
      <c r="W20" s="46"/>
      <c r="X20" s="46"/>
      <c r="Y20" s="46"/>
      <c r="Z20" s="46"/>
      <c r="AA20" s="46"/>
    </row>
    <row r="21">
      <c r="A21" s="55">
        <f>IFERROR(__xludf.DUMMYFUNCTION("""COMPUTED_VALUE"""),44259.82383094907)</f>
        <v>44259.82383</v>
      </c>
      <c r="B21" s="56">
        <f>IFERROR(__xludf.DUMMYFUNCTION("""COMPUTED_VALUE"""),44257.0)</f>
        <v>44257</v>
      </c>
      <c r="C21" s="59" t="str">
        <f t="shared" si="1"/>
        <v>Báo cáo muộn</v>
      </c>
      <c r="D21" s="46" t="str">
        <f>IFERROR(__xludf.DUMMYFUNCTION("""COMPUTED_VALUE"""),"Tuanva")</f>
        <v>Tuanva</v>
      </c>
      <c r="E21" s="57" t="str">
        <f>IFERROR(__xludf.DUMMYFUNCTION("""COMPUTED_VALUE"""),"56HGL03545")</f>
        <v>56HGL03545</v>
      </c>
      <c r="F21" s="46" t="str">
        <f>IFERROR(__xludf.DUMMYFUNCTION("""COMPUTED_VALUE"""),"Khu công nghiệp Phú Nghĩa, Hà Đông, Hà Nội")</f>
        <v>Khu công nghiệp Phú Nghĩa, Hà Đông, Hà Nội</v>
      </c>
      <c r="G21" s="46" t="str">
        <f>IFERROR(__xludf.DUMMYFUNCTION("""COMPUTED_VALUE"""),"Lỗi 7.3")</f>
        <v>Lỗi 7.3</v>
      </c>
      <c r="H21" s="46"/>
      <c r="I21" s="46"/>
      <c r="J21" s="46" t="str">
        <f>IFERROR(__xludf.DUMMYFUNCTION("""COMPUTED_VALUE"""),"Có dây chun kẹt tại ex 3")</f>
        <v>Có dây chun kẹt tại ex 3</v>
      </c>
      <c r="K21" s="46"/>
      <c r="L21" s="46"/>
      <c r="M21" s="46"/>
      <c r="N21" s="46"/>
      <c r="O21" s="46"/>
      <c r="P21" s="46"/>
      <c r="Q21" s="46" t="str">
        <f>IFERROR(__xludf.DUMMYFUNCTION("""COMPUTED_VALUE"""),"Hoàn thành")</f>
        <v>Hoàn thành</v>
      </c>
      <c r="R21" s="46"/>
      <c r="S21" s="46"/>
      <c r="T21" s="46"/>
      <c r="U21" s="46"/>
      <c r="V21" s="46"/>
      <c r="W21" s="46"/>
      <c r="X21" s="46"/>
      <c r="Y21" s="46"/>
      <c r="Z21" s="46"/>
      <c r="AA21" s="46"/>
    </row>
    <row r="22">
      <c r="A22" s="55">
        <f>IFERROR(__xludf.DUMMYFUNCTION("""COMPUTED_VALUE"""),44259.82506145834)</f>
        <v>44259.82506</v>
      </c>
      <c r="B22" s="56">
        <f>IFERROR(__xludf.DUMMYFUNCTION("""COMPUTED_VALUE"""),44259.0)</f>
        <v>44259</v>
      </c>
      <c r="C22" s="59" t="str">
        <f t="shared" si="1"/>
        <v/>
      </c>
      <c r="D22" s="46" t="str">
        <f>IFERROR(__xludf.DUMMYFUNCTION("""COMPUTED_VALUE"""),"Tuanva")</f>
        <v>Tuanva</v>
      </c>
      <c r="E22" s="57" t="str">
        <f>IFERROR(__xludf.DUMMYFUNCTION("""COMPUTED_VALUE"""),"5310181577")</f>
        <v>5310181577</v>
      </c>
      <c r="F22" s="46" t="str">
        <f>IFERROR(__xludf.DUMMYFUNCTION("""COMPUTED_VALUE"""),"Xóm Thuần Pháp, xã Điềm Thụy, huyện Phú Bình, tỉnh Thái Nguyên")</f>
        <v>Xóm Thuần Pháp, xã Điềm Thụy, huyện Phú Bình, tỉnh Thái Nguyên</v>
      </c>
      <c r="G22" s="46" t="str">
        <f>IFERROR(__xludf.DUMMYFUNCTION("""COMPUTED_VALUE"""),"Không rút được khay 200k")</f>
        <v>Không rút được khay 200k</v>
      </c>
      <c r="H22" s="46"/>
      <c r="I22" s="46" t="str">
        <f>IFERROR(__xludf.DUMMYFUNCTION("""COMPUTED_VALUE"""),"Bảo trì")</f>
        <v>Bảo trì</v>
      </c>
      <c r="J22" s="46" t="str">
        <f>IFERROR(__xludf.DUMMYFUNCTION("""COMPUTED_VALUE"""),"Vệ sinh trc miết tiền")</f>
        <v>Vệ sinh trc miết tiền</v>
      </c>
      <c r="K22" s="46"/>
      <c r="L22" s="46"/>
      <c r="M22" s="46"/>
      <c r="N22" s="46"/>
      <c r="O22" s="46"/>
      <c r="P22" s="46"/>
      <c r="Q22" s="46" t="str">
        <f>IFERROR(__xludf.DUMMYFUNCTION("""COMPUTED_VALUE"""),"Hoàn thành")</f>
        <v>Hoàn thành</v>
      </c>
      <c r="R22" s="46"/>
      <c r="S22" s="46"/>
      <c r="T22" s="46"/>
      <c r="U22" s="46"/>
      <c r="V22" s="46"/>
      <c r="W22" s="46"/>
      <c r="X22" s="46"/>
      <c r="Y22" s="46"/>
      <c r="Z22" s="46"/>
      <c r="AA22" s="46"/>
    </row>
    <row r="23">
      <c r="A23" s="55">
        <f>IFERROR(__xludf.DUMMYFUNCTION("""COMPUTED_VALUE"""),44260.36311344907)</f>
        <v>44260.36311</v>
      </c>
      <c r="B23" s="56">
        <f>IFERROR(__xludf.DUMMYFUNCTION("""COMPUTED_VALUE"""),44230.0)</f>
        <v>44230</v>
      </c>
      <c r="C23" s="59" t="str">
        <f t="shared" si="1"/>
        <v>Báo cáo muộn</v>
      </c>
      <c r="D23" s="46" t="str">
        <f>IFERROR(__xludf.DUMMYFUNCTION("""COMPUTED_VALUE"""),"HaNH")</f>
        <v>HaNH</v>
      </c>
      <c r="E23" s="57" t="str">
        <f>IFERROR(__xludf.DUMMYFUNCTION("""COMPUTED_VALUE"""),"5300381470")</f>
        <v>5300381470</v>
      </c>
      <c r="F23" s="46" t="str">
        <f>IFERROR(__xludf.DUMMYFUNCTION("""COMPUTED_VALUE"""),"Tổ 25, P. Tân An, Đường Điện Biên, TX. Nghĩa Lộ")</f>
        <v>Tổ 25, P. Tân An, Đường Điện Biên, TX. Nghĩa Lộ</v>
      </c>
      <c r="G23" s="46" t="str">
        <f>IFERROR(__xludf.DUMMYFUNCTION("""COMPUTED_VALUE"""),"Không nhận khay tiền, bảo trì")</f>
        <v>Không nhận khay tiền, bảo trì</v>
      </c>
      <c r="H23" s="46"/>
      <c r="I23" s="46" t="str">
        <f>IFERROR(__xludf.DUMMYFUNCTION("""COMPUTED_VALUE"""),"Bảo trì")</f>
        <v>Bảo trì</v>
      </c>
      <c r="J23" s="46"/>
      <c r="K23" s="46"/>
      <c r="L23" s="46"/>
      <c r="M23" s="46"/>
      <c r="N23" s="46"/>
      <c r="O23" s="46"/>
      <c r="P23" s="46"/>
      <c r="Q23" s="46" t="str">
        <f>IFERROR(__xludf.DUMMYFUNCTION("""COMPUTED_VALUE"""),"Hoàn thành")</f>
        <v>Hoàn thành</v>
      </c>
      <c r="R23" s="46"/>
      <c r="S23" s="46"/>
      <c r="T23" s="46"/>
      <c r="U23" s="46"/>
      <c r="V23" s="46"/>
      <c r="W23" s="46"/>
      <c r="X23" s="46"/>
      <c r="Y23" s="46"/>
      <c r="Z23" s="46"/>
      <c r="AA23" s="46"/>
    </row>
    <row r="24">
      <c r="A24" s="55">
        <f>IFERROR(__xludf.DUMMYFUNCTION("""COMPUTED_VALUE"""),44260.37399194445)</f>
        <v>44260.37399</v>
      </c>
      <c r="B24" s="56">
        <f>IFERROR(__xludf.DUMMYFUNCTION("""COMPUTED_VALUE"""),44230.0)</f>
        <v>44230</v>
      </c>
      <c r="C24" s="59" t="str">
        <f t="shared" si="1"/>
        <v>Báo cáo muộn</v>
      </c>
      <c r="D24" s="46" t="str">
        <f>IFERROR(__xludf.DUMMYFUNCTION("""COMPUTED_VALUE"""),"HaNH")</f>
        <v>HaNH</v>
      </c>
      <c r="E24" s="57" t="str">
        <f>IFERROR(__xludf.DUMMYFUNCTION("""COMPUTED_VALUE"""),"5310182501")</f>
        <v>5310182501</v>
      </c>
      <c r="F24" s="46" t="str">
        <f>IFERROR(__xludf.DUMMYFUNCTION("""COMPUTED_VALUE"""),"Tổ dân phố 8, TT Mậu A, huyện Văn Yên, tỉnh Yên Bái")</f>
        <v>Tổ dân phố 8, TT Mậu A, huyện Văn Yên, tỉnh Yên Bái</v>
      </c>
      <c r="G24" s="46" t="str">
        <f>IFERROR(__xludf.DUMMYFUNCTION("""COMPUTED_VALUE"""),"Kiểm tra, làm vệ sinh")</f>
        <v>Kiểm tra, làm vệ sinh</v>
      </c>
      <c r="H24" s="46"/>
      <c r="I24" s="46"/>
      <c r="J24" s="46" t="str">
        <f>IFERROR(__xludf.DUMMYFUNCTION("""COMPUTED_VALUE"""),"Vệ sinh")</f>
        <v>Vệ sinh</v>
      </c>
      <c r="K24" s="46"/>
      <c r="L24" s="46"/>
      <c r="M24" s="46"/>
      <c r="N24" s="46"/>
      <c r="O24" s="46"/>
      <c r="P24" s="46"/>
      <c r="Q24" s="46" t="str">
        <f>IFERROR(__xludf.DUMMYFUNCTION("""COMPUTED_VALUE"""),"Hoàn thành")</f>
        <v>Hoàn thành</v>
      </c>
      <c r="R24" s="46"/>
      <c r="S24" s="46"/>
      <c r="T24" s="46"/>
      <c r="U24" s="46"/>
      <c r="V24" s="46"/>
      <c r="W24" s="46"/>
      <c r="X24" s="46"/>
      <c r="Y24" s="46"/>
      <c r="Z24" s="46"/>
      <c r="AA24" s="46"/>
    </row>
    <row r="25">
      <c r="A25" s="55">
        <f>IFERROR(__xludf.DUMMYFUNCTION("""COMPUTED_VALUE"""),44260.37436069445)</f>
        <v>44260.37436</v>
      </c>
      <c r="B25" s="56">
        <f>IFERROR(__xludf.DUMMYFUNCTION("""COMPUTED_VALUE"""),44258.0)</f>
        <v>44258</v>
      </c>
      <c r="C25" s="59" t="str">
        <f t="shared" si="1"/>
        <v>Báo cáo muộn</v>
      </c>
      <c r="D25" s="46" t="str">
        <f>IFERROR(__xludf.DUMMYFUNCTION("""COMPUTED_VALUE"""),"HaNH")</f>
        <v>HaNH</v>
      </c>
      <c r="E25" s="57" t="str">
        <f>IFERROR(__xludf.DUMMYFUNCTION("""COMPUTED_VALUE"""),"5310107028")</f>
        <v>5310107028</v>
      </c>
      <c r="F25" s="46" t="str">
        <f>IFERROR(__xludf.DUMMYFUNCTION("""COMPUTED_VALUE"""),"Số 43 đường Đinh Tiên Hoàng, TP. Yên Bái")</f>
        <v>Số 43 đường Đinh Tiên Hoàng, TP. Yên Bái</v>
      </c>
      <c r="G25" s="46" t="str">
        <f>IFERROR(__xludf.DUMMYFUNCTION("""COMPUTED_VALUE"""),"Kiểm tra, làm vệ sinh")</f>
        <v>Kiểm tra, làm vệ sinh</v>
      </c>
      <c r="H25" s="46"/>
      <c r="I25" s="46"/>
      <c r="J25" s="46" t="str">
        <f>IFERROR(__xludf.DUMMYFUNCTION("""COMPUTED_VALUE"""),"Vệ sinh")</f>
        <v>Vệ sinh</v>
      </c>
      <c r="K25" s="46"/>
      <c r="L25" s="46"/>
      <c r="M25" s="46"/>
      <c r="N25" s="46"/>
      <c r="O25" s="46"/>
      <c r="P25" s="46"/>
      <c r="Q25" s="46" t="str">
        <f>IFERROR(__xludf.DUMMYFUNCTION("""COMPUTED_VALUE"""),"Hoàn thành")</f>
        <v>Hoàn thành</v>
      </c>
      <c r="R25" s="46"/>
      <c r="S25" s="46"/>
      <c r="T25" s="46"/>
      <c r="U25" s="46"/>
      <c r="V25" s="46"/>
      <c r="W25" s="46"/>
      <c r="X25" s="46"/>
      <c r="Y25" s="46"/>
      <c r="Z25" s="46"/>
      <c r="AA25" s="46"/>
    </row>
    <row r="26">
      <c r="A26" s="55">
        <f>IFERROR(__xludf.DUMMYFUNCTION("""COMPUTED_VALUE"""),44260.37498740741)</f>
        <v>44260.37499</v>
      </c>
      <c r="B26" s="56">
        <f>IFERROR(__xludf.DUMMYFUNCTION("""COMPUTED_VALUE"""),44258.0)</f>
        <v>44258</v>
      </c>
      <c r="C26" s="59" t="str">
        <f t="shared" si="1"/>
        <v>Báo cáo muộn</v>
      </c>
      <c r="D26" s="46" t="str">
        <f>IFERROR(__xludf.DUMMYFUNCTION("""COMPUTED_VALUE"""),"HaNH")</f>
        <v>HaNH</v>
      </c>
      <c r="E26" s="57" t="str">
        <f>IFERROR(__xludf.DUMMYFUNCTION("""COMPUTED_VALUE"""),"56HGL03545")</f>
        <v>56HGL03545</v>
      </c>
      <c r="F26" s="46" t="str">
        <f>IFERROR(__xludf.DUMMYFUNCTION("""COMPUTED_VALUE"""),"Khu công nghiệp Phú Nghĩa, Hà Đông, Hà Nội")</f>
        <v>Khu công nghiệp Phú Nghĩa, Hà Đông, Hà Nội</v>
      </c>
      <c r="G26" s="46" t="str">
        <f>IFERROR(__xludf.DUMMYFUNCTION("""COMPUTED_VALUE"""),"Bao tri")</f>
        <v>Bao tri</v>
      </c>
      <c r="H26" s="46"/>
      <c r="I26" s="46" t="str">
        <f>IFERROR(__xludf.DUMMYFUNCTION("""COMPUTED_VALUE"""),"Bảo trì")</f>
        <v>Bảo trì</v>
      </c>
      <c r="J26" s="46"/>
      <c r="K26" s="46"/>
      <c r="L26" s="46"/>
      <c r="M26" s="46"/>
      <c r="N26" s="46"/>
      <c r="O26" s="46"/>
      <c r="P26" s="46"/>
      <c r="Q26" s="46" t="str">
        <f>IFERROR(__xludf.DUMMYFUNCTION("""COMPUTED_VALUE"""),"Hoàn thành")</f>
        <v>Hoàn thành</v>
      </c>
      <c r="R26" s="46"/>
      <c r="S26" s="46"/>
      <c r="T26" s="46"/>
      <c r="U26" s="46"/>
      <c r="V26" s="46"/>
      <c r="W26" s="46"/>
      <c r="X26" s="46"/>
      <c r="Y26" s="46"/>
      <c r="Z26" s="46"/>
      <c r="AA26" s="46"/>
    </row>
    <row r="27">
      <c r="A27" s="55">
        <f>IFERROR(__xludf.DUMMYFUNCTION("""COMPUTED_VALUE"""),44260.37554649306)</f>
        <v>44260.37555</v>
      </c>
      <c r="B27" s="56">
        <f>IFERROR(__xludf.DUMMYFUNCTION("""COMPUTED_VALUE"""),44258.0)</f>
        <v>44258</v>
      </c>
      <c r="C27" s="59" t="str">
        <f t="shared" si="1"/>
        <v>Báo cáo muộn</v>
      </c>
      <c r="D27" s="46" t="str">
        <f>IFERROR(__xludf.DUMMYFUNCTION("""COMPUTED_VALUE"""),"HaNH")</f>
        <v>HaNH</v>
      </c>
      <c r="E27" s="57" t="str">
        <f>IFERROR(__xludf.DUMMYFUNCTION("""COMPUTED_VALUE"""),"5310105348")</f>
        <v>5310105348</v>
      </c>
      <c r="F27" s="46" t="str">
        <f>IFERROR(__xludf.DUMMYFUNCTION("""COMPUTED_VALUE"""),"Số 06 khu Yên Sơn, thị trấn Chúc Sơn, huyện Chương Mỹ")</f>
        <v>Số 06 khu Yên Sơn, thị trấn Chúc Sơn, huyện Chương Mỹ</v>
      </c>
      <c r="G27" s="46" t="str">
        <f>IFERROR(__xludf.DUMMYFUNCTION("""COMPUTED_VALUE"""),"Kiểm tra, làm vệ sinh")</f>
        <v>Kiểm tra, làm vệ sinh</v>
      </c>
      <c r="H27" s="46"/>
      <c r="I27" s="46"/>
      <c r="J27" s="46" t="str">
        <f>IFERROR(__xludf.DUMMYFUNCTION("""COMPUTED_VALUE"""),"Vệ sinh")</f>
        <v>Vệ sinh</v>
      </c>
      <c r="K27" s="46"/>
      <c r="L27" s="46"/>
      <c r="M27" s="46"/>
      <c r="N27" s="46"/>
      <c r="O27" s="46"/>
      <c r="P27" s="46"/>
      <c r="Q27" s="46" t="str">
        <f>IFERROR(__xludf.DUMMYFUNCTION("""COMPUTED_VALUE"""),"Hoàn thành")</f>
        <v>Hoàn thành</v>
      </c>
      <c r="R27" s="46"/>
      <c r="S27" s="46"/>
      <c r="T27" s="46"/>
      <c r="U27" s="46"/>
      <c r="V27" s="46"/>
      <c r="W27" s="46"/>
      <c r="X27" s="46"/>
      <c r="Y27" s="46"/>
      <c r="Z27" s="46"/>
      <c r="AA27" s="46"/>
    </row>
    <row r="28">
      <c r="A28" s="55">
        <f>IFERROR(__xludf.DUMMYFUNCTION("""COMPUTED_VALUE"""),44260.37588357639)</f>
        <v>44260.37588</v>
      </c>
      <c r="B28" s="56">
        <f>IFERROR(__xludf.DUMMYFUNCTION("""COMPUTED_VALUE"""),44258.0)</f>
        <v>44258</v>
      </c>
      <c r="C28" s="59" t="str">
        <f t="shared" si="1"/>
        <v>Báo cáo muộn</v>
      </c>
      <c r="D28" s="46" t="str">
        <f>IFERROR(__xludf.DUMMYFUNCTION("""COMPUTED_VALUE"""),"HaNH")</f>
        <v>HaNH</v>
      </c>
      <c r="E28" s="57" t="str">
        <f>IFERROR(__xludf.DUMMYFUNCTION("""COMPUTED_VALUE"""),"56HGL00270")</f>
        <v>56HGL00270</v>
      </c>
      <c r="F28" s="46" t="str">
        <f>IFERROR(__xludf.DUMMYFUNCTION("""COMPUTED_VALUE"""),"Tầng 1 tòa nhà Victoria Văn Phú, TP Hà Nội")</f>
        <v>Tầng 1 tòa nhà Victoria Văn Phú, TP Hà Nội</v>
      </c>
      <c r="G28" s="46" t="str">
        <f>IFERROR(__xludf.DUMMYFUNCTION("""COMPUTED_VALUE"""),"Kiểm tra, làm vệ sinh")</f>
        <v>Kiểm tra, làm vệ sinh</v>
      </c>
      <c r="H28" s="46"/>
      <c r="I28" s="46"/>
      <c r="J28" s="46" t="str">
        <f>IFERROR(__xludf.DUMMYFUNCTION("""COMPUTED_VALUE"""),"Vệ sinh")</f>
        <v>Vệ sinh</v>
      </c>
      <c r="K28" s="46"/>
      <c r="L28" s="46"/>
      <c r="M28" s="46"/>
      <c r="N28" s="46"/>
      <c r="O28" s="46"/>
      <c r="P28" s="46"/>
      <c r="Q28" s="46" t="str">
        <f>IFERROR(__xludf.DUMMYFUNCTION("""COMPUTED_VALUE"""),"Hoàn thành")</f>
        <v>Hoàn thành</v>
      </c>
      <c r="R28" s="46"/>
      <c r="S28" s="46"/>
      <c r="T28" s="46"/>
      <c r="U28" s="46"/>
      <c r="V28" s="46"/>
      <c r="W28" s="46"/>
      <c r="X28" s="46"/>
      <c r="Y28" s="46"/>
      <c r="Z28" s="46"/>
      <c r="AA28" s="46"/>
    </row>
    <row r="29">
      <c r="A29" s="55">
        <f>IFERROR(__xludf.DUMMYFUNCTION("""COMPUTED_VALUE"""),44260.37659511574)</f>
        <v>44260.3766</v>
      </c>
      <c r="B29" s="56">
        <f>IFERROR(__xludf.DUMMYFUNCTION("""COMPUTED_VALUE"""),44290.0)</f>
        <v>44290</v>
      </c>
      <c r="C29" s="59" t="str">
        <f t="shared" si="1"/>
        <v/>
      </c>
      <c r="D29" s="46" t="str">
        <f>IFERROR(__xludf.DUMMYFUNCTION("""COMPUTED_VALUE"""),"HaNH")</f>
        <v>HaNH</v>
      </c>
      <c r="E29" s="57" t="str">
        <f>IFERROR(__xludf.DUMMYFUNCTION("""COMPUTED_VALUE"""),"56HGL03537")</f>
        <v>56HGL03537</v>
      </c>
      <c r="F29" s="46" t="str">
        <f>IFERROR(__xludf.DUMMYFUNCTION("""COMPUTED_VALUE"""),"Lô A38-NV16 ô số 11 và ô số 12, Khu đô thị mới hai bên đường Lê Trọng Tấn, xã An Khánh, huyện Hoài Đức, TP Hà Nội")</f>
        <v>Lô A38-NV16 ô số 11 và ô số 12, Khu đô thị mới hai bên đường Lê Trọng Tấn, xã An Khánh, huyện Hoài Đức, TP Hà Nội</v>
      </c>
      <c r="G29" s="46" t="str">
        <f>IFERROR(__xludf.DUMMYFUNCTION("""COMPUTED_VALUE"""),"Kiểm tra, làm vệ sinh")</f>
        <v>Kiểm tra, làm vệ sinh</v>
      </c>
      <c r="H29" s="46"/>
      <c r="I29" s="46"/>
      <c r="J29" s="46" t="str">
        <f>IFERROR(__xludf.DUMMYFUNCTION("""COMPUTED_VALUE"""),"Vệ sinh")</f>
        <v>Vệ sinh</v>
      </c>
      <c r="K29" s="46"/>
      <c r="L29" s="46"/>
      <c r="M29" s="46"/>
      <c r="N29" s="46"/>
      <c r="O29" s="46"/>
      <c r="P29" s="46"/>
      <c r="Q29" s="46" t="str">
        <f>IFERROR(__xludf.DUMMYFUNCTION("""COMPUTED_VALUE"""),"Hoàn thành")</f>
        <v>Hoàn thành</v>
      </c>
      <c r="R29" s="46"/>
      <c r="S29" s="46"/>
      <c r="T29" s="46"/>
      <c r="U29" s="46"/>
      <c r="V29" s="46"/>
      <c r="W29" s="46"/>
      <c r="X29" s="46"/>
      <c r="Y29" s="46"/>
      <c r="Z29" s="46"/>
      <c r="AA29" s="46"/>
    </row>
    <row r="30">
      <c r="A30" s="55">
        <f>IFERROR(__xludf.DUMMYFUNCTION("""COMPUTED_VALUE"""),44260.37717787037)</f>
        <v>44260.37718</v>
      </c>
      <c r="B30" s="56">
        <f>IFERROR(__xludf.DUMMYFUNCTION("""COMPUTED_VALUE"""),44289.0)</f>
        <v>44289</v>
      </c>
      <c r="C30" s="59" t="str">
        <f t="shared" si="1"/>
        <v/>
      </c>
      <c r="D30" s="46" t="str">
        <f>IFERROR(__xludf.DUMMYFUNCTION("""COMPUTED_VALUE"""),"HaNH")</f>
        <v>HaNH</v>
      </c>
      <c r="E30" s="57" t="str">
        <f>IFERROR(__xludf.DUMMYFUNCTION("""COMPUTED_VALUE"""),"5300377933")</f>
        <v>5300377933</v>
      </c>
      <c r="F30" s="46" t="str">
        <f>IFERROR(__xludf.DUMMYFUNCTION("""COMPUTED_VALUE"""),"Số 75 Phương Mai, Hà Nội")</f>
        <v>Số 75 Phương Mai, Hà Nội</v>
      </c>
      <c r="G30" s="46" t="str">
        <f>IFERROR(__xludf.DUMMYFUNCTION("""COMPUTED_VALUE"""),"Kiểm tra, làm vệ sinh")</f>
        <v>Kiểm tra, làm vệ sinh</v>
      </c>
      <c r="H30" s="46"/>
      <c r="I30" s="46"/>
      <c r="J30" s="46" t="str">
        <f>IFERROR(__xludf.DUMMYFUNCTION("""COMPUTED_VALUE"""),"Vệ sinh")</f>
        <v>Vệ sinh</v>
      </c>
      <c r="K30" s="46"/>
      <c r="L30" s="46"/>
      <c r="M30" s="46"/>
      <c r="N30" s="46"/>
      <c r="O30" s="46"/>
      <c r="P30" s="46"/>
      <c r="Q30" s="46" t="str">
        <f>IFERROR(__xludf.DUMMYFUNCTION("""COMPUTED_VALUE"""),"Hoàn thành")</f>
        <v>Hoàn thành</v>
      </c>
      <c r="R30" s="46"/>
      <c r="S30" s="46"/>
      <c r="T30" s="46"/>
      <c r="U30" s="46"/>
      <c r="V30" s="46"/>
      <c r="W30" s="46"/>
      <c r="X30" s="46"/>
      <c r="Y30" s="46"/>
      <c r="Z30" s="46"/>
      <c r="AA30" s="46"/>
    </row>
    <row r="31">
      <c r="A31" s="55">
        <f>IFERROR(__xludf.DUMMYFUNCTION("""COMPUTED_VALUE"""),44260.41584140046)</f>
        <v>44260.41584</v>
      </c>
      <c r="B31" s="56">
        <f>IFERROR(__xludf.DUMMYFUNCTION("""COMPUTED_VALUE"""),44260.0)</f>
        <v>44260</v>
      </c>
      <c r="C31" s="59" t="str">
        <f t="shared" si="1"/>
        <v/>
      </c>
      <c r="D31" s="46" t="str">
        <f>IFERROR(__xludf.DUMMYFUNCTION("""COMPUTED_VALUE"""),"Tuanva")</f>
        <v>Tuanva</v>
      </c>
      <c r="E31" s="57" t="str">
        <f>IFERROR(__xludf.DUMMYFUNCTION("""COMPUTED_VALUE"""),"5310181415")</f>
        <v>5310181415</v>
      </c>
      <c r="F31" s="46" t="str">
        <f>IFERROR(__xludf.DUMMYFUNCTION("""COMPUTED_VALUE"""),"Trụ sở Agribank TT Cao Thượng, huyện Tân Yên")</f>
        <v>Trụ sở Agribank TT Cao Thượng, huyện Tân Yên</v>
      </c>
      <c r="G31" s="46" t="str">
        <f>IFERROR(__xludf.DUMMYFUNCTION("""COMPUTED_VALUE"""),"Kẹt tiền")</f>
        <v>Kẹt tiền</v>
      </c>
      <c r="H31" s="46"/>
      <c r="I31" s="46" t="str">
        <f>IFERROR(__xludf.DUMMYFUNCTION("""COMPUTED_VALUE"""),"Bảo trì")</f>
        <v>Bảo trì</v>
      </c>
      <c r="J31" s="46" t="str">
        <f>IFERROR(__xludf.DUMMYFUNCTION("""COMPUTED_VALUE"""),"Dây curoa tuột ra khỏi trục.")</f>
        <v>Dây curoa tuột ra khỏi trục.</v>
      </c>
      <c r="K31" s="46"/>
      <c r="L31" s="46"/>
      <c r="M31" s="46"/>
      <c r="N31" s="46"/>
      <c r="O31" s="46"/>
      <c r="P31" s="46"/>
      <c r="Q31" s="46" t="str">
        <f>IFERROR(__xludf.DUMMYFUNCTION("""COMPUTED_VALUE"""),"Hoàn thành")</f>
        <v>Hoàn thành</v>
      </c>
      <c r="R31" s="46"/>
      <c r="S31" s="46"/>
      <c r="T31" s="46"/>
      <c r="U31" s="46"/>
      <c r="V31" s="46"/>
      <c r="W31" s="46"/>
      <c r="X31" s="46"/>
      <c r="Y31" s="46"/>
      <c r="Z31" s="46"/>
      <c r="AA31" s="46"/>
    </row>
    <row r="32">
      <c r="A32" s="55">
        <f>IFERROR(__xludf.DUMMYFUNCTION("""COMPUTED_VALUE"""),44260.507740393514)</f>
        <v>44260.50774</v>
      </c>
      <c r="B32" s="56">
        <f>IFERROR(__xludf.DUMMYFUNCTION("""COMPUTED_VALUE"""),44256.0)</f>
        <v>44256</v>
      </c>
      <c r="C32" s="59" t="str">
        <f t="shared" si="1"/>
        <v>Báo cáo muộn</v>
      </c>
      <c r="D32" s="46" t="str">
        <f>IFERROR(__xludf.DUMMYFUNCTION("""COMPUTED_VALUE"""),"Hieppn")</f>
        <v>Hieppn</v>
      </c>
      <c r="E32" s="57" t="str">
        <f>IFERROR(__xludf.DUMMYFUNCTION("""COMPUTED_VALUE"""),"5300380006")</f>
        <v>5300380006</v>
      </c>
      <c r="F32" s="46" t="str">
        <f>IFERROR(__xludf.DUMMYFUNCTION("""COMPUTED_VALUE"""),"NHNo Tứ Kỳ - Đường 391 H. Tứ Kỳ - T. Hải Dương")</f>
        <v>NHNo Tứ Kỳ - Đường 391 H. Tứ Kỳ - T. Hải Dương</v>
      </c>
      <c r="G32" s="46" t="str">
        <f>IFERROR(__xludf.DUMMYFUNCTION("""COMPUTED_VALUE"""),"Khắc phục sự cố rác nhiều kết hợp bảo trì")</f>
        <v>Khắc phục sự cố rác nhiều kết hợp bảo trì</v>
      </c>
      <c r="H32" s="46"/>
      <c r="I32" s="46" t="str">
        <f>IFERROR(__xludf.DUMMYFUNCTION("""COMPUTED_VALUE"""),"Bảo trì")</f>
        <v>Bảo trì</v>
      </c>
      <c r="J32" s="46" t="str">
        <f>IFERROR(__xludf.DUMMYFUNCTION("""COMPUTED_VALUE"""),"Thay thế và bảo trì")</f>
        <v>Thay thế và bảo trì</v>
      </c>
      <c r="K32" s="46" t="str">
        <f>IFERROR(__xludf.DUMMYFUNCTION("""COMPUTED_VALUE"""),"01 extractor ")</f>
        <v>01 extractor </v>
      </c>
      <c r="L32" s="46"/>
      <c r="M32" s="46"/>
      <c r="N32" s="46"/>
      <c r="O32" s="46"/>
      <c r="P32" s="46"/>
      <c r="Q32" s="46" t="str">
        <f>IFERROR(__xludf.DUMMYFUNCTION("""COMPUTED_VALUE"""),"Hoàn thành")</f>
        <v>Hoàn thành</v>
      </c>
      <c r="R32" s="46"/>
      <c r="S32" s="46"/>
      <c r="T32" s="46"/>
      <c r="U32" s="46"/>
      <c r="V32" s="46"/>
      <c r="W32" s="46"/>
      <c r="X32" s="46"/>
      <c r="Y32" s="46"/>
      <c r="Z32" s="46"/>
      <c r="AA32" s="46"/>
    </row>
    <row r="33">
      <c r="A33" s="55">
        <f>IFERROR(__xludf.DUMMYFUNCTION("""COMPUTED_VALUE"""),44260.50905013889)</f>
        <v>44260.50905</v>
      </c>
      <c r="B33" s="56">
        <f>IFERROR(__xludf.DUMMYFUNCTION("""COMPUTED_VALUE"""),44257.0)</f>
        <v>44257</v>
      </c>
      <c r="C33" s="59" t="str">
        <f t="shared" si="1"/>
        <v>Báo cáo muộn</v>
      </c>
      <c r="D33" s="46" t="str">
        <f>IFERROR(__xludf.DUMMYFUNCTION("""COMPUTED_VALUE"""),"Hieppn")</f>
        <v>Hieppn</v>
      </c>
      <c r="E33" s="57" t="str">
        <f>IFERROR(__xludf.DUMMYFUNCTION("""COMPUTED_VALUE"""),"5300380006")</f>
        <v>5300380006</v>
      </c>
      <c r="F33" s="46" t="str">
        <f>IFERROR(__xludf.DUMMYFUNCTION("""COMPUTED_VALUE"""),"NHNo Tứ Kỳ - Đường 391 H. Tứ Kỳ - T. Hải Dương")</f>
        <v>NHNo Tứ Kỳ - Đường 391 H. Tứ Kỳ - T. Hải Dương</v>
      </c>
      <c r="G33" s="46" t="str">
        <f>IFERROR(__xludf.DUMMYFUNCTION("""COMPUTED_VALUE"""),"Khắc phục sự cố kết hợp bảo trì")</f>
        <v>Khắc phục sự cố kết hợp bảo trì</v>
      </c>
      <c r="H33" s="46"/>
      <c r="I33" s="46" t="str">
        <f>IFERROR(__xludf.DUMMYFUNCTION("""COMPUTED_VALUE"""),"Bảo trì")</f>
        <v>Bảo trì</v>
      </c>
      <c r="J33" s="46" t="str">
        <f>IFERROR(__xludf.DUMMYFUNCTION("""COMPUTED_VALUE"""),"Thay thế  kết hợp bảo trì")</f>
        <v>Thay thế  kết hợp bảo trì</v>
      </c>
      <c r="K33" s="46" t="str">
        <f>IFERROR(__xludf.DUMMYFUNCTION("""COMPUTED_VALUE"""),"01 trục cuốn cho extractor 1")</f>
        <v>01 trục cuốn cho extractor 1</v>
      </c>
      <c r="L33" s="46" t="str">
        <f>IFERROR(__xludf.DUMMYFUNCTION("""COMPUTED_VALUE"""),"02 dây curoa cho extractor 2")</f>
        <v>02 dây curoa cho extractor 2</v>
      </c>
      <c r="M33" s="46"/>
      <c r="N33" s="46"/>
      <c r="O33" s="46"/>
      <c r="P33" s="46"/>
      <c r="Q33" s="46" t="str">
        <f>IFERROR(__xludf.DUMMYFUNCTION("""COMPUTED_VALUE"""),"Hoàn thành")</f>
        <v>Hoàn thành</v>
      </c>
      <c r="R33" s="46"/>
      <c r="S33" s="46"/>
      <c r="T33" s="46"/>
      <c r="U33" s="46"/>
      <c r="V33" s="46"/>
      <c r="W33" s="46"/>
      <c r="X33" s="46"/>
      <c r="Y33" s="46"/>
      <c r="Z33" s="46"/>
      <c r="AA33" s="46"/>
    </row>
    <row r="34">
      <c r="A34" s="55">
        <f>IFERROR(__xludf.DUMMYFUNCTION("""COMPUTED_VALUE"""),44260.51001233797)</f>
        <v>44260.51001</v>
      </c>
      <c r="B34" s="56">
        <f>IFERROR(__xludf.DUMMYFUNCTION("""COMPUTED_VALUE"""),44258.0)</f>
        <v>44258</v>
      </c>
      <c r="C34" s="59" t="str">
        <f t="shared" si="1"/>
        <v>Báo cáo muộn</v>
      </c>
      <c r="D34" s="46" t="str">
        <f>IFERROR(__xludf.DUMMYFUNCTION("""COMPUTED_VALUE"""),"Hieppn")</f>
        <v>Hieppn</v>
      </c>
      <c r="E34" s="57" t="str">
        <f>IFERROR(__xludf.DUMMYFUNCTION("""COMPUTED_VALUE"""),"5300380006")</f>
        <v>5300380006</v>
      </c>
      <c r="F34" s="46" t="str">
        <f>IFERROR(__xludf.DUMMYFUNCTION("""COMPUTED_VALUE"""),"NHNo Tứ Kỳ - Đường 391 H. Tứ Kỳ - T. Hải Dương")</f>
        <v>NHNo Tứ Kỳ - Đường 391 H. Tứ Kỳ - T. Hải Dương</v>
      </c>
      <c r="G34" s="46" t="str">
        <f>IFERROR(__xludf.DUMMYFUNCTION("""COMPUTED_VALUE"""),"Khắc phục sự cố rác nhiều")</f>
        <v>Khắc phục sự cố rác nhiều</v>
      </c>
      <c r="H34" s="46"/>
      <c r="I34" s="46"/>
      <c r="J34" s="46" t="str">
        <f>IFERROR(__xludf.DUMMYFUNCTION("""COMPUTED_VALUE"""),"Thay thế chỉnh ghép ")</f>
        <v>Thay thế chỉnh ghép </v>
      </c>
      <c r="K34" s="46" t="str">
        <f>IFERROR(__xludf.DUMMYFUNCTION("""COMPUTED_VALUE"""),"01 extractor 01")</f>
        <v>01 extractor 01</v>
      </c>
      <c r="L34" s="46"/>
      <c r="M34" s="46"/>
      <c r="N34" s="46"/>
      <c r="O34" s="46"/>
      <c r="P34" s="46"/>
      <c r="Q34" s="46" t="str">
        <f>IFERROR(__xludf.DUMMYFUNCTION("""COMPUTED_VALUE"""),"Hoàn thành")</f>
        <v>Hoàn thành</v>
      </c>
      <c r="R34" s="46"/>
      <c r="S34" s="46"/>
      <c r="T34" s="46"/>
      <c r="U34" s="46"/>
      <c r="V34" s="46"/>
      <c r="W34" s="46"/>
      <c r="X34" s="46"/>
      <c r="Y34" s="46"/>
      <c r="Z34" s="46"/>
      <c r="AA34" s="46"/>
    </row>
    <row r="35">
      <c r="A35" s="55">
        <f>IFERROR(__xludf.DUMMYFUNCTION("""COMPUTED_VALUE"""),44260.511712384265)</f>
        <v>44260.51171</v>
      </c>
      <c r="B35" s="56">
        <f>IFERROR(__xludf.DUMMYFUNCTION("""COMPUTED_VALUE"""),44259.0)</f>
        <v>44259</v>
      </c>
      <c r="C35" s="59" t="str">
        <f t="shared" si="1"/>
        <v/>
      </c>
      <c r="D35" s="46" t="str">
        <f>IFERROR(__xludf.DUMMYFUNCTION("""COMPUTED_VALUE"""),"Hieppn")</f>
        <v>Hieppn</v>
      </c>
      <c r="E35" s="57" t="str">
        <f>IFERROR(__xludf.DUMMYFUNCTION("""COMPUTED_VALUE"""),"5310106194")</f>
        <v>5310106194</v>
      </c>
      <c r="F35" s="46" t="str">
        <f>IFERROR(__xludf.DUMMYFUNCTION("""COMPUTED_VALUE"""),"Số 195 Đường Văn Cao, Phường Trần Quang Khải, TP. Nam Định")</f>
        <v>Số 195 Đường Văn Cao, Phường Trần Quang Khải, TP. Nam Định</v>
      </c>
      <c r="G35" s="46" t="str">
        <f>IFERROR(__xludf.DUMMYFUNCTION("""COMPUTED_VALUE"""),"Khắc phục sự cố kết hợp bảo trì ")</f>
        <v>Khắc phục sự cố kết hợp bảo trì </v>
      </c>
      <c r="H35" s="46"/>
      <c r="I35" s="46" t="str">
        <f>IFERROR(__xludf.DUMMYFUNCTION("""COMPUTED_VALUE"""),"Bảo trì")</f>
        <v>Bảo trì</v>
      </c>
      <c r="J35" s="46" t="str">
        <f>IFERROR(__xludf.DUMMYFUNCTION("""COMPUTED_VALUE"""),"Fix lại cửa trả tiền vệ sinh máy ATM")</f>
        <v>Fix lại cửa trả tiền vệ sinh máy ATM</v>
      </c>
      <c r="K35" s="46"/>
      <c r="L35" s="46"/>
      <c r="M35" s="46"/>
      <c r="N35" s="46"/>
      <c r="O35" s="46"/>
      <c r="P35" s="46"/>
      <c r="Q35" s="46" t="str">
        <f>IFERROR(__xludf.DUMMYFUNCTION("""COMPUTED_VALUE"""),"Hoàn thành")</f>
        <v>Hoàn thành</v>
      </c>
      <c r="R35" s="46"/>
      <c r="S35" s="46"/>
      <c r="T35" s="46"/>
      <c r="U35" s="46"/>
      <c r="V35" s="46"/>
      <c r="W35" s="46"/>
      <c r="X35" s="46"/>
      <c r="Y35" s="46"/>
      <c r="Z35" s="46"/>
      <c r="AA35" s="46"/>
    </row>
    <row r="36">
      <c r="A36" s="55">
        <f>IFERROR(__xludf.DUMMYFUNCTION("""COMPUTED_VALUE"""),44260.512686111106)</f>
        <v>44260.51269</v>
      </c>
      <c r="B36" s="56">
        <f>IFERROR(__xludf.DUMMYFUNCTION("""COMPUTED_VALUE"""),44260.0)</f>
        <v>44260</v>
      </c>
      <c r="C36" s="59" t="str">
        <f t="shared" si="1"/>
        <v/>
      </c>
      <c r="D36" s="46" t="str">
        <f>IFERROR(__xludf.DUMMYFUNCTION("""COMPUTED_VALUE"""),"Hieppn")</f>
        <v>Hieppn</v>
      </c>
      <c r="E36" s="57" t="str">
        <f>IFERROR(__xludf.DUMMYFUNCTION("""COMPUTED_VALUE"""),"5300380665")</f>
        <v>5300380665</v>
      </c>
      <c r="F36" s="46" t="str">
        <f>IFERROR(__xludf.DUMMYFUNCTION("""COMPUTED_VALUE"""),"Tiểu khu 7 T.trấn Mộc Châu, H. Mộc Châu, Sơn La")</f>
        <v>Tiểu khu 7 T.trấn Mộc Châu, H. Mộc Châu, Sơn La</v>
      </c>
      <c r="G36" s="46" t="str">
        <f>IFERROR(__xludf.DUMMYFUNCTION("""COMPUTED_VALUE"""),"Khắc phục sự cố kết hợp bảo trì")</f>
        <v>Khắc phục sự cố kết hợp bảo trì</v>
      </c>
      <c r="H36" s="46"/>
      <c r="I36" s="46" t="str">
        <f>IFERROR(__xludf.DUMMYFUNCTION("""COMPUTED_VALUE"""),"Bảo trì")</f>
        <v>Bảo trì</v>
      </c>
      <c r="J36" s="46" t="str">
        <f>IFERROR(__xludf.DUMMYFUNCTION("""COMPUTED_VALUE"""),"Thay thế  kết hợp bảo trì")</f>
        <v>Thay thế  kết hợp bảo trì</v>
      </c>
      <c r="K36" s="46" t="str">
        <f>IFERROR(__xludf.DUMMYFUNCTION("""COMPUTED_VALUE"""),"02 trục ghép")</f>
        <v>02 trục ghép</v>
      </c>
      <c r="L36" s="46" t="str">
        <f>IFERROR(__xludf.DUMMYFUNCTION("""COMPUTED_VALUE"""),"01 presentor ")</f>
        <v>01 presentor </v>
      </c>
      <c r="M36" s="46"/>
      <c r="N36" s="46"/>
      <c r="O36" s="46"/>
      <c r="P36" s="46"/>
      <c r="Q36" s="46" t="str">
        <f>IFERROR(__xludf.DUMMYFUNCTION("""COMPUTED_VALUE"""),"Hoàn thành")</f>
        <v>Hoàn thành</v>
      </c>
      <c r="R36" s="46"/>
      <c r="S36" s="46"/>
      <c r="T36" s="46"/>
      <c r="U36" s="46"/>
      <c r="V36" s="46"/>
      <c r="W36" s="46"/>
      <c r="X36" s="46"/>
      <c r="Y36" s="46"/>
      <c r="Z36" s="46"/>
      <c r="AA36" s="46"/>
    </row>
    <row r="37">
      <c r="A37" s="55">
        <f>IFERROR(__xludf.DUMMYFUNCTION("""COMPUTED_VALUE"""),44260.66096226852)</f>
        <v>44260.66096</v>
      </c>
      <c r="B37" s="56">
        <f>IFERROR(__xludf.DUMMYFUNCTION("""COMPUTED_VALUE"""),44260.0)</f>
        <v>44260</v>
      </c>
      <c r="C37" s="46"/>
      <c r="D37" s="46" t="str">
        <f>IFERROR(__xludf.DUMMYFUNCTION("""COMPUTED_VALUE"""),"Tuanva")</f>
        <v>Tuanva</v>
      </c>
      <c r="E37" s="57" t="str">
        <f>IFERROR(__xludf.DUMMYFUNCTION("""COMPUTED_VALUE"""),"5300381801")</f>
        <v>5300381801</v>
      </c>
      <c r="F37" s="46" t="str">
        <f>IFERROR(__xludf.DUMMYFUNCTION("""COMPUTED_VALUE"""),"Thị trấn Vĩnh Trụ, huyện Lý Nhân, Hà Nam")</f>
        <v>Thị trấn Vĩnh Trụ, huyện Lý Nhân, Hà Nam</v>
      </c>
      <c r="G37" s="46" t="str">
        <f>IFERROR(__xludf.DUMMYFUNCTION("""COMPUTED_VALUE"""),"Tiền loại nhiều ")</f>
        <v>Tiền loại nhiều </v>
      </c>
      <c r="H37" s="46"/>
      <c r="I37" s="46"/>
      <c r="J37" s="46" t="str">
        <f>IFERROR(__xludf.DUMMYFUNCTION("""COMPUTED_VALUE"""),"Kiểm tra log thấy máy báo lỗi 2.2, tiền lỗi chủ yếu ở khay 200k,ex tầng 200 này đã bị gãy hết chân nhựa giữ sensor nên đã dc cán bộ trc đó gắn silicon cố định. Khắc phục:đã cl cmd,load fw.tất cả các tầng đang để gap B.")</f>
        <v>Kiểm tra log thấy máy báo lỗi 2.2, tiền lỗi chủ yếu ở khay 200k,ex tầng 200 này đã bị gãy hết chân nhựa giữ sensor nên đã dc cán bộ trc đó gắn silicon cố định. Khắc phục:đã cl cmd,load fw.tất cả các tầng đang để gap B.</v>
      </c>
      <c r="K37" s="46"/>
      <c r="L37" s="46"/>
      <c r="M37" s="46"/>
      <c r="N37" s="46"/>
      <c r="O37" s="46"/>
      <c r="P37" s="46"/>
      <c r="Q37" s="46" t="str">
        <f>IFERROR(__xludf.DUMMYFUNCTION("""COMPUTED_VALUE"""),"Hoàn thành")</f>
        <v>Hoàn thành</v>
      </c>
      <c r="R37" s="46"/>
      <c r="S37" s="46"/>
      <c r="T37" s="46"/>
      <c r="U37" s="46"/>
      <c r="V37" s="46"/>
      <c r="W37" s="46"/>
      <c r="X37" s="46"/>
      <c r="Y37" s="46"/>
      <c r="Z37" s="46"/>
      <c r="AA37" s="46"/>
    </row>
    <row r="38">
      <c r="A38" s="55">
        <f>IFERROR(__xludf.DUMMYFUNCTION("""COMPUTED_VALUE"""),44262.86251111111)</f>
        <v>44262.86251</v>
      </c>
      <c r="B38" s="56">
        <f>IFERROR(__xludf.DUMMYFUNCTION("""COMPUTED_VALUE"""),44252.0)</f>
        <v>44252</v>
      </c>
      <c r="C38" s="59" t="str">
        <f t="shared" ref="C38:C66" si="2">if(A38-B38&gt;2,"Báo cáo muộn","")</f>
        <v>Báo cáo muộn</v>
      </c>
      <c r="D38" s="60" t="str">
        <f>IFERROR(__xludf.DUMMYFUNCTION("""COMPUTED_VALUE"""),"thuongd")</f>
        <v>thuongd</v>
      </c>
      <c r="E38" s="57" t="str">
        <f>IFERROR(__xludf.DUMMYFUNCTION("""COMPUTED_VALUE"""),"5310181673")</f>
        <v>5310181673</v>
      </c>
      <c r="F38" s="46" t="str">
        <f>IFERROR(__xludf.DUMMYFUNCTION("""COMPUTED_VALUE"""),"PGD Tự Lạn, xã Tự Lạn, huyện Việt Yên")</f>
        <v>PGD Tự Lạn, xã Tự Lạn, huyện Việt Yên</v>
      </c>
      <c r="G38" s="46" t="str">
        <f>IFERROR(__xludf.DUMMYFUNCTION("""COMPUTED_VALUE"""),"tiền loại nhiều")</f>
        <v>tiền loại nhiều</v>
      </c>
      <c r="H38" s="46"/>
      <c r="I38" s="46"/>
      <c r="J38" s="46" t="str">
        <f>IFERROR(__xludf.DUMMYFUNCTION("""COMPUTED_VALUE"""),"Vệ sinh máy")</f>
        <v>Vệ sinh máy</v>
      </c>
      <c r="K38" s="46"/>
      <c r="L38" s="46"/>
      <c r="M38" s="46"/>
      <c r="N38" s="46"/>
      <c r="O38" s="46"/>
      <c r="P38" s="46"/>
      <c r="Q38" s="46" t="str">
        <f>IFERROR(__xludf.DUMMYFUNCTION("""COMPUTED_VALUE"""),"Hoàn thành")</f>
        <v>Hoàn thành</v>
      </c>
      <c r="R38" s="46"/>
      <c r="S38" s="46"/>
      <c r="T38" s="46"/>
      <c r="U38" s="46"/>
      <c r="V38" s="46"/>
      <c r="W38" s="46"/>
      <c r="X38" s="46"/>
      <c r="Y38" s="46"/>
      <c r="Z38" s="46"/>
      <c r="AA38" s="46"/>
    </row>
    <row r="39">
      <c r="A39" s="55">
        <f>IFERROR(__xludf.DUMMYFUNCTION("""COMPUTED_VALUE"""),44262.86322054398)</f>
        <v>44262.86322</v>
      </c>
      <c r="B39" s="56">
        <f>IFERROR(__xludf.DUMMYFUNCTION("""COMPUTED_VALUE"""),44253.0)</f>
        <v>44253</v>
      </c>
      <c r="C39" s="59" t="str">
        <f t="shared" si="2"/>
        <v>Báo cáo muộn</v>
      </c>
      <c r="D39" s="46" t="str">
        <f>IFERROR(__xludf.DUMMYFUNCTION("""COMPUTED_VALUE"""),"thuongd")</f>
        <v>thuongd</v>
      </c>
      <c r="E39" s="57" t="str">
        <f>IFERROR(__xludf.DUMMYFUNCTION("""COMPUTED_VALUE"""),"56HG 80539")</f>
        <v>56HG 80539</v>
      </c>
      <c r="F39" s="46" t="str">
        <f>IFERROR(__xludf.DUMMYFUNCTION("""COMPUTED_VALUE"""),"")</f>
        <v/>
      </c>
      <c r="G39" s="46" t="str">
        <f>IFERROR(__xludf.DUMMYFUNCTION("""COMPUTED_VALUE"""),"tiền loại nhiều")</f>
        <v>tiền loại nhiều</v>
      </c>
      <c r="H39" s="46"/>
      <c r="I39" s="46"/>
      <c r="J39" s="46" t="str">
        <f>IFERROR(__xludf.DUMMYFUNCTION("""COMPUTED_VALUE"""),"Vệ sinh máy")</f>
        <v>Vệ sinh máy</v>
      </c>
      <c r="K39" s="46"/>
      <c r="L39" s="46"/>
      <c r="M39" s="46"/>
      <c r="N39" s="46"/>
      <c r="O39" s="46"/>
      <c r="P39" s="46"/>
      <c r="Q39" s="46" t="str">
        <f>IFERROR(__xludf.DUMMYFUNCTION("""COMPUTED_VALUE"""),"Hoàn thành")</f>
        <v>Hoàn thành</v>
      </c>
      <c r="R39" s="46"/>
      <c r="S39" s="46"/>
      <c r="T39" s="46"/>
      <c r="U39" s="46"/>
      <c r="V39" s="46"/>
      <c r="W39" s="46"/>
      <c r="X39" s="46"/>
      <c r="Y39" s="46"/>
      <c r="Z39" s="46"/>
      <c r="AA39" s="46"/>
    </row>
    <row r="40">
      <c r="A40" s="55">
        <f>IFERROR(__xludf.DUMMYFUNCTION("""COMPUTED_VALUE"""),44262.87200854167)</f>
        <v>44262.87201</v>
      </c>
      <c r="B40" s="56">
        <f>IFERROR(__xludf.DUMMYFUNCTION("""COMPUTED_VALUE"""),44255.0)</f>
        <v>44255</v>
      </c>
      <c r="C40" s="59" t="str">
        <f t="shared" si="2"/>
        <v>Báo cáo muộn</v>
      </c>
      <c r="D40" s="46" t="str">
        <f>IFERROR(__xludf.DUMMYFUNCTION("""COMPUTED_VALUE"""),"thuongd")</f>
        <v>thuongd</v>
      </c>
      <c r="E40" s="57" t="str">
        <f>IFERROR(__xludf.DUMMYFUNCTION("""COMPUTED_VALUE"""),"5300381623")</f>
        <v>5300381623</v>
      </c>
      <c r="F40" s="46" t="str">
        <f>IFERROR(__xludf.DUMMYFUNCTION("""COMPUTED_VALUE"""),"NHNo Yên Khánh, H.Yên Khánh, Ninh Bình")</f>
        <v>NHNo Yên Khánh, H.Yên Khánh, Ninh Bình</v>
      </c>
      <c r="G40" s="46" t="str">
        <f>IFERROR(__xludf.DUMMYFUNCTION("""COMPUTED_VALUE"""),"tiền loại nhiều")</f>
        <v>tiền loại nhiều</v>
      </c>
      <c r="H40" s="46"/>
      <c r="I40" s="46"/>
      <c r="J40" s="46" t="str">
        <f>IFERROR(__xludf.DUMMYFUNCTION("""COMPUTED_VALUE"""),"thay pre")</f>
        <v>thay pre</v>
      </c>
      <c r="K40" s="46"/>
      <c r="L40" s="46"/>
      <c r="M40" s="46"/>
      <c r="N40" s="46"/>
      <c r="O40" s="46"/>
      <c r="P40" s="46"/>
      <c r="Q40" s="46" t="str">
        <f>IFERROR(__xludf.DUMMYFUNCTION("""COMPUTED_VALUE"""),"Hoàn thành")</f>
        <v>Hoàn thành</v>
      </c>
      <c r="R40" s="46"/>
      <c r="S40" s="46"/>
      <c r="T40" s="46"/>
      <c r="U40" s="46"/>
      <c r="V40" s="46"/>
      <c r="W40" s="46"/>
      <c r="X40" s="46"/>
      <c r="Y40" s="46"/>
      <c r="Z40" s="46"/>
      <c r="AA40" s="46"/>
    </row>
    <row r="41">
      <c r="A41" s="55">
        <f>IFERROR(__xludf.DUMMYFUNCTION("""COMPUTED_VALUE"""),44262.872840578704)</f>
        <v>44262.87284</v>
      </c>
      <c r="B41" s="56">
        <f>IFERROR(__xludf.DUMMYFUNCTION("""COMPUTED_VALUE"""),44261.0)</f>
        <v>44261</v>
      </c>
      <c r="C41" s="59" t="str">
        <f t="shared" si="2"/>
        <v/>
      </c>
      <c r="D41" s="46" t="str">
        <f>IFERROR(__xludf.DUMMYFUNCTION("""COMPUTED_VALUE"""),"thuongd")</f>
        <v>thuongd</v>
      </c>
      <c r="E41" s="57" t="str">
        <f>IFERROR(__xludf.DUMMYFUNCTION("""COMPUTED_VALUE"""),"56HG707950")</f>
        <v>56HG707950</v>
      </c>
      <c r="F41" s="46" t="str">
        <f>IFERROR(__xludf.DUMMYFUNCTION("""COMPUTED_VALUE"""),"Km6 Đại lộ Thăng Long, Phường Tây Mỗ, Quận Nam Từ Liêm, TP Hà Nội")</f>
        <v>Km6 Đại lộ Thăng Long, Phường Tây Mỗ, Quận Nam Từ Liêm, TP Hà Nội</v>
      </c>
      <c r="G41" s="46" t="str">
        <f>IFERROR(__xludf.DUMMYFUNCTION("""COMPUTED_VALUE"""),"loi bptt")</f>
        <v>loi bptt</v>
      </c>
      <c r="H41" s="46"/>
      <c r="I41" s="46"/>
      <c r="J41" s="46" t="str">
        <f>IFERROR(__xludf.DUMMYFUNCTION("""COMPUTED_VALUE"""),"thay pre")</f>
        <v>thay pre</v>
      </c>
      <c r="K41" s="46"/>
      <c r="L41" s="46"/>
      <c r="M41" s="46"/>
      <c r="N41" s="46"/>
      <c r="O41" s="46"/>
      <c r="P41" s="46"/>
      <c r="Q41" s="46" t="str">
        <f>IFERROR(__xludf.DUMMYFUNCTION("""COMPUTED_VALUE"""),"Hoàn thành")</f>
        <v>Hoàn thành</v>
      </c>
      <c r="R41" s="46"/>
      <c r="S41" s="46"/>
      <c r="T41" s="46"/>
      <c r="U41" s="46"/>
      <c r="V41" s="46"/>
      <c r="W41" s="46"/>
      <c r="X41" s="46"/>
      <c r="Y41" s="46"/>
      <c r="Z41" s="46"/>
      <c r="AA41" s="46"/>
    </row>
    <row r="42">
      <c r="A42" s="55">
        <f>IFERROR(__xludf.DUMMYFUNCTION("""COMPUTED_VALUE"""),44263.43876209491)</f>
        <v>44263.43876</v>
      </c>
      <c r="B42" s="56">
        <f>IFERROR(__xludf.DUMMYFUNCTION("""COMPUTED_VALUE"""),44259.0)</f>
        <v>44259</v>
      </c>
      <c r="C42" s="59" t="str">
        <f t="shared" si="2"/>
        <v>Báo cáo muộn</v>
      </c>
      <c r="D42" s="46" t="str">
        <f>IFERROR(__xludf.DUMMYFUNCTION("""COMPUTED_VALUE"""),"tunt")</f>
        <v>tunt</v>
      </c>
      <c r="E42" s="57" t="str">
        <f>IFERROR(__xludf.DUMMYFUNCTION("""COMPUTED_VALUE"""),"5300380006")</f>
        <v>5300380006</v>
      </c>
      <c r="F42" s="46" t="str">
        <f>IFERROR(__xludf.DUMMYFUNCTION("""COMPUTED_VALUE"""),"NHNo Tứ Kỳ - Đường 391 H. Tứ Kỳ - T. Hải Dương")</f>
        <v>NHNo Tứ Kỳ - Đường 391 H. Tứ Kỳ - T. Hải Dương</v>
      </c>
      <c r="G42" s="46" t="str">
        <f>IFERROR(__xludf.DUMMYFUNCTION("""COMPUTED_VALUE"""),"lỗi Clamp")</f>
        <v>lỗi Clamp</v>
      </c>
      <c r="H42" s="46"/>
      <c r="I42" s="46"/>
      <c r="J42" s="46" t="str">
        <f>IFERROR(__xludf.DUMMYFUNCTION("""COMPUTED_VALUE"""),"Thay thế Clamp")</f>
        <v>Thay thế Clamp</v>
      </c>
      <c r="K42" s="46"/>
      <c r="L42" s="46"/>
      <c r="M42" s="46"/>
      <c r="N42" s="46"/>
      <c r="O42" s="46"/>
      <c r="P42" s="46"/>
      <c r="Q42" s="46" t="str">
        <f>IFERROR(__xludf.DUMMYFUNCTION("""COMPUTED_VALUE"""),"Hoàn thành")</f>
        <v>Hoàn thành</v>
      </c>
      <c r="R42" s="46"/>
      <c r="S42" s="46"/>
      <c r="T42" s="46"/>
      <c r="U42" s="46"/>
      <c r="V42" s="46"/>
      <c r="W42" s="46"/>
      <c r="X42" s="46"/>
      <c r="Y42" s="46"/>
      <c r="Z42" s="46"/>
      <c r="AA42" s="46"/>
    </row>
    <row r="43">
      <c r="A43" s="55">
        <f>IFERROR(__xludf.DUMMYFUNCTION("""COMPUTED_VALUE"""),44264.463916493056)</f>
        <v>44264.46392</v>
      </c>
      <c r="B43" s="56">
        <f>IFERROR(__xludf.DUMMYFUNCTION("""COMPUTED_VALUE"""),44263.0)</f>
        <v>44263</v>
      </c>
      <c r="C43" s="59" t="str">
        <f t="shared" si="2"/>
        <v/>
      </c>
      <c r="D43" s="46" t="str">
        <f>IFERROR(__xludf.DUMMYFUNCTION("""COMPUTED_VALUE"""),"Tunt")</f>
        <v>Tunt</v>
      </c>
      <c r="E43" s="57" t="str">
        <f>IFERROR(__xludf.DUMMYFUNCTION("""COMPUTED_VALUE"""),"5310105833")</f>
        <v>5310105833</v>
      </c>
      <c r="F43" s="46" t="str">
        <f>IFERROR(__xludf.DUMMYFUNCTION("""COMPUTED_VALUE"""),"Agribank huyện Thanh Miện, số 163 Nguyễn Lương Bằng, thị trấn Thanh Miện, huyện Thanh Miện, Hải Dương")</f>
        <v>Agribank huyện Thanh Miện, số 163 Nguyễn Lương Bằng, thị trấn Thanh Miện, huyện Thanh Miện, Hải Dương</v>
      </c>
      <c r="G43" s="46" t="str">
        <f>IFERROR(__xludf.DUMMYFUNCTION("""COMPUTED_VALUE"""),"Lỗi khay 200k, bảo tri")</f>
        <v>Lỗi khay 200k, bảo tri</v>
      </c>
      <c r="H43" s="46"/>
      <c r="I43" s="46" t="str">
        <f>IFERROR(__xludf.DUMMYFUNCTION("""COMPUTED_VALUE"""),"Bảo trì")</f>
        <v>Bảo trì</v>
      </c>
      <c r="J43" s="46" t="str">
        <f>IFERROR(__xludf.DUMMYFUNCTION("""COMPUTED_VALUE"""),"Bảo trì")</f>
        <v>Bảo trì</v>
      </c>
      <c r="K43" s="46"/>
      <c r="L43" s="46"/>
      <c r="M43" s="46"/>
      <c r="N43" s="46"/>
      <c r="O43" s="46"/>
      <c r="P43" s="46"/>
      <c r="Q43" s="46" t="str">
        <f>IFERROR(__xludf.DUMMYFUNCTION("""COMPUTED_VALUE"""),"Hoàn thành")</f>
        <v>Hoàn thành</v>
      </c>
      <c r="R43" s="46"/>
      <c r="S43" s="46"/>
      <c r="T43" s="46"/>
      <c r="U43" s="46"/>
      <c r="V43" s="46"/>
      <c r="W43" s="46"/>
      <c r="X43" s="46"/>
      <c r="Y43" s="46"/>
      <c r="Z43" s="46"/>
      <c r="AA43" s="46"/>
    </row>
    <row r="44">
      <c r="A44" s="55">
        <f>IFERROR(__xludf.DUMMYFUNCTION("""COMPUTED_VALUE"""),44264.46493173611)</f>
        <v>44264.46493</v>
      </c>
      <c r="B44" s="56">
        <f>IFERROR(__xludf.DUMMYFUNCTION("""COMPUTED_VALUE"""),44263.0)</f>
        <v>44263</v>
      </c>
      <c r="C44" s="59" t="str">
        <f t="shared" si="2"/>
        <v/>
      </c>
      <c r="D44" s="46" t="str">
        <f>IFERROR(__xludf.DUMMYFUNCTION("""COMPUTED_VALUE"""),"Tunt")</f>
        <v>Tunt</v>
      </c>
      <c r="E44" s="57" t="str">
        <f>IFERROR(__xludf.DUMMYFUNCTION("""COMPUTED_VALUE"""),"5310105333")</f>
        <v>5310105333</v>
      </c>
      <c r="F44" s="46" t="str">
        <f>IFERROR(__xludf.DUMMYFUNCTION("""COMPUTED_VALUE"""),"Thôn Thiết Bình, xã Vân Hà, Huyện Đông Anh")</f>
        <v>Thôn Thiết Bình, xã Vân Hà, Huyện Đông Anh</v>
      </c>
      <c r="G44" s="46" t="str">
        <f>IFERROR(__xludf.DUMMYFUNCTION("""COMPUTED_VALUE"""),"Kẹt tiền")</f>
        <v>Kẹt tiền</v>
      </c>
      <c r="H44" s="46"/>
      <c r="I44" s="46"/>
      <c r="J44" s="46" t="str">
        <f>IFERROR(__xludf.DUMMYFUNCTION("""COMPUTED_VALUE"""),"Gỡ tiền kẹt tại Ex1 và pre, vệ sinh CMD")</f>
        <v>Gỡ tiền kẹt tại Ex1 và pre, vệ sinh CMD</v>
      </c>
      <c r="K44" s="46"/>
      <c r="L44" s="46"/>
      <c r="M44" s="46"/>
      <c r="N44" s="46"/>
      <c r="O44" s="46"/>
      <c r="P44" s="46"/>
      <c r="Q44" s="46" t="str">
        <f>IFERROR(__xludf.DUMMYFUNCTION("""COMPUTED_VALUE"""),"Hoàn thành")</f>
        <v>Hoàn thành</v>
      </c>
      <c r="R44" s="46"/>
      <c r="S44" s="46"/>
      <c r="T44" s="46"/>
      <c r="U44" s="46"/>
      <c r="V44" s="46"/>
      <c r="W44" s="46"/>
      <c r="X44" s="46"/>
      <c r="Y44" s="46"/>
      <c r="Z44" s="46"/>
      <c r="AA44" s="46"/>
    </row>
    <row r="45">
      <c r="A45" s="55">
        <f>IFERROR(__xludf.DUMMYFUNCTION("""COMPUTED_VALUE"""),44264.46555893519)</f>
        <v>44264.46556</v>
      </c>
      <c r="B45" s="56">
        <f>IFERROR(__xludf.DUMMYFUNCTION("""COMPUTED_VALUE"""),44263.0)</f>
        <v>44263</v>
      </c>
      <c r="C45" s="59" t="str">
        <f t="shared" si="2"/>
        <v/>
      </c>
      <c r="D45" s="46" t="str">
        <f>IFERROR(__xludf.DUMMYFUNCTION("""COMPUTED_VALUE"""),"Tunt")</f>
        <v>Tunt</v>
      </c>
      <c r="E45" s="57" t="str">
        <f>IFERROR(__xludf.DUMMYFUNCTION("""COMPUTED_VALUE"""),"5300378031")</f>
        <v>5300378031</v>
      </c>
      <c r="F45" s="46" t="str">
        <f>IFERROR(__xludf.DUMMYFUNCTION("""COMPUTED_VALUE"""),"Trụ sở NHNo Hoành Bồ, Khu 4 thị trấn Trới, Hoành Bồ, Quảng Ninh")</f>
        <v>Trụ sở NHNo Hoành Bồ, Khu 4 thị trấn Trới, Hoành Bồ, Quảng Ninh</v>
      </c>
      <c r="G45" s="46" t="str">
        <f>IFERROR(__xludf.DUMMYFUNCTION("""COMPUTED_VALUE"""),"Bảo trì")</f>
        <v>Bảo trì</v>
      </c>
      <c r="H45" s="46"/>
      <c r="I45" s="46" t="str">
        <f>IFERROR(__xludf.DUMMYFUNCTION("""COMPUTED_VALUE"""),"Bảo trì")</f>
        <v>Bảo trì</v>
      </c>
      <c r="J45" s="46" t="str">
        <f>IFERROR(__xludf.DUMMYFUNCTION("""COMPUTED_VALUE"""),"Bảo trì")</f>
        <v>Bảo trì</v>
      </c>
      <c r="K45" s="46"/>
      <c r="L45" s="46"/>
      <c r="M45" s="46"/>
      <c r="N45" s="46"/>
      <c r="O45" s="46"/>
      <c r="P45" s="46"/>
      <c r="Q45" s="46" t="str">
        <f>IFERROR(__xludf.DUMMYFUNCTION("""COMPUTED_VALUE"""),"Hoàn thành")</f>
        <v>Hoàn thành</v>
      </c>
      <c r="R45" s="46"/>
      <c r="S45" s="46"/>
      <c r="T45" s="46"/>
      <c r="U45" s="46"/>
      <c r="V45" s="46"/>
      <c r="W45" s="46"/>
      <c r="X45" s="46"/>
      <c r="Y45" s="46"/>
      <c r="Z45" s="46"/>
      <c r="AA45" s="46"/>
    </row>
    <row r="46">
      <c r="A46" s="55">
        <f>IFERROR(__xludf.DUMMYFUNCTION("""COMPUTED_VALUE"""),44264.46692880787)</f>
        <v>44264.46693</v>
      </c>
      <c r="B46" s="56">
        <f>IFERROR(__xludf.DUMMYFUNCTION("""COMPUTED_VALUE"""),44264.0)</f>
        <v>44264</v>
      </c>
      <c r="C46" s="59" t="str">
        <f t="shared" si="2"/>
        <v/>
      </c>
      <c r="D46" s="46" t="str">
        <f>IFERROR(__xludf.DUMMYFUNCTION("""COMPUTED_VALUE"""),"Tunt")</f>
        <v>Tunt</v>
      </c>
      <c r="E46" s="57" t="str">
        <f>IFERROR(__xludf.DUMMYFUNCTION("""COMPUTED_VALUE"""),"5300380642")</f>
        <v>5300380642</v>
      </c>
      <c r="F46" s="46" t="str">
        <f>IFERROR(__xludf.DUMMYFUNCTION("""COMPUTED_VALUE"""),"Thị trấn Lương Bằng - Kim Động - Hưng Yên")</f>
        <v>Thị trấn Lương Bằng - Kim Động - Hưng Yên</v>
      </c>
      <c r="G46" s="46" t="str">
        <f>IFERROR(__xludf.DUMMYFUNCTION("""COMPUTED_VALUE"""),"Hay kẹt tiền, bảo trì")</f>
        <v>Hay kẹt tiền, bảo trì</v>
      </c>
      <c r="H46" s="46"/>
      <c r="I46" s="46" t="str">
        <f>IFERROR(__xludf.DUMMYFUNCTION("""COMPUTED_VALUE"""),"Bảo trì")</f>
        <v>Bảo trì</v>
      </c>
      <c r="J46" s="46" t="str">
        <f>IFERROR(__xludf.DUMMYFUNCTION("""COMPUTED_VALUE"""),"Bảo trì, căn chỉnh GAP")</f>
        <v>Bảo trì, căn chỉnh GAP</v>
      </c>
      <c r="K46" s="46"/>
      <c r="L46" s="46"/>
      <c r="M46" s="46"/>
      <c r="N46" s="46"/>
      <c r="O46" s="46"/>
      <c r="P46" s="46"/>
      <c r="Q46" s="46" t="str">
        <f>IFERROR(__xludf.DUMMYFUNCTION("""COMPUTED_VALUE"""),"Hoàn thành")</f>
        <v>Hoàn thành</v>
      </c>
      <c r="R46" s="46"/>
      <c r="S46" s="46"/>
      <c r="T46" s="46"/>
      <c r="U46" s="46"/>
      <c r="V46" s="46"/>
      <c r="W46" s="46"/>
      <c r="X46" s="46"/>
      <c r="Y46" s="46"/>
      <c r="Z46" s="46"/>
      <c r="AA46" s="46"/>
    </row>
    <row r="47">
      <c r="A47" s="55">
        <f>IFERROR(__xludf.DUMMYFUNCTION("""COMPUTED_VALUE"""),44264.85436403935)</f>
        <v>44264.85436</v>
      </c>
      <c r="B47" s="56">
        <f>IFERROR(__xludf.DUMMYFUNCTION("""COMPUTED_VALUE"""),44227.0)</f>
        <v>44227</v>
      </c>
      <c r="C47" s="59" t="str">
        <f t="shared" si="2"/>
        <v>Báo cáo muộn</v>
      </c>
      <c r="D47" s="46" t="str">
        <f>IFERROR(__xludf.DUMMYFUNCTION("""COMPUTED_VALUE"""),"Hieppn")</f>
        <v>Hieppn</v>
      </c>
      <c r="E47" s="57" t="str">
        <f>IFERROR(__xludf.DUMMYFUNCTION("""COMPUTED_VALUE"""),"5300380278")</f>
        <v>5300380278</v>
      </c>
      <c r="F47" s="46" t="str">
        <f>IFERROR(__xludf.DUMMYFUNCTION("""COMPUTED_VALUE"""),"PGD Đại học Nông Nghiệp 1- Trân Quỳ- Gia Lâm")</f>
        <v>PGD Đại học Nông Nghiệp 1- Trân Quỳ- Gia Lâm</v>
      </c>
      <c r="G47" s="46" t="str">
        <f>IFERROR(__xludf.DUMMYFUNCTION("""COMPUTED_VALUE"""),"máy ATM báo rác nhiều ")</f>
        <v>máy ATM báo rác nhiều </v>
      </c>
      <c r="H47" s="46"/>
      <c r="I47" s="46"/>
      <c r="J47" s="46" t="str">
        <f>IFERROR(__xludf.DUMMYFUNCTION("""COMPUTED_VALUE"""),"thay thế và vệ sinh máy ATM")</f>
        <v>thay thế và vệ sinh máy ATM</v>
      </c>
      <c r="K47" s="46" t="str">
        <f>IFERROR(__xludf.DUMMYFUNCTION("""COMPUTED_VALUE"""),"02 dây curoa cho extractor ")</f>
        <v>02 dây curoa cho extractor </v>
      </c>
      <c r="L47" s="46" t="str">
        <f>IFERROR(__xludf.DUMMYFUNCTION("""COMPUTED_VALUE"""),"01 trục cuốn")</f>
        <v>01 trục cuốn</v>
      </c>
      <c r="M47" s="46"/>
      <c r="N47" s="46"/>
      <c r="O47" s="46"/>
      <c r="P47" s="46"/>
      <c r="Q47" s="46" t="str">
        <f>IFERROR(__xludf.DUMMYFUNCTION("""COMPUTED_VALUE"""),"Hoàn thành")</f>
        <v>Hoàn thành</v>
      </c>
      <c r="R47" s="46"/>
      <c r="S47" s="46"/>
      <c r="T47" s="46"/>
      <c r="U47" s="46"/>
      <c r="V47" s="46"/>
      <c r="W47" s="46"/>
      <c r="X47" s="46"/>
      <c r="Y47" s="46"/>
      <c r="Z47" s="46"/>
      <c r="AA47" s="46"/>
    </row>
    <row r="48">
      <c r="A48" s="55">
        <f>IFERROR(__xludf.DUMMYFUNCTION("""COMPUTED_VALUE"""),44264.85747094908)</f>
        <v>44264.85747</v>
      </c>
      <c r="B48" s="56">
        <f>IFERROR(__xludf.DUMMYFUNCTION("""COMPUTED_VALUE"""),44236.0)</f>
        <v>44236</v>
      </c>
      <c r="C48" s="59" t="str">
        <f t="shared" si="2"/>
        <v>Báo cáo muộn</v>
      </c>
      <c r="D48" s="46" t="str">
        <f>IFERROR(__xludf.DUMMYFUNCTION("""COMPUTED_VALUE"""),"Hieppn")</f>
        <v>Hieppn</v>
      </c>
      <c r="E48" s="57" t="str">
        <f>IFERROR(__xludf.DUMMYFUNCTION("""COMPUTED_VALUE"""),"5310181109")</f>
        <v>5310181109</v>
      </c>
      <c r="F48" s="46" t="str">
        <f>IFERROR(__xludf.DUMMYFUNCTION("""COMPUTED_VALUE"""),"Đường Ngô Xuân Quảng, TT Trâu Quỳ, Gia Lâm, Hà Nội")</f>
        <v>Đường Ngô Xuân Quảng, TT Trâu Quỳ, Gia Lâm, Hà Nội</v>
      </c>
      <c r="G48" s="46" t="str">
        <f>IFERROR(__xludf.DUMMYFUNCTION("""COMPUTED_VALUE"""),"rác nhiều")</f>
        <v>rác nhiều</v>
      </c>
      <c r="H48" s="46"/>
      <c r="I48" s="46"/>
      <c r="J48" s="46" t="str">
        <f>IFERROR(__xludf.DUMMYFUNCTION("""COMPUTED_VALUE"""),"vệ sinh bộ trả tiền và khuyến cáo khách hàng không tiếp tiền mới ")</f>
        <v>vệ sinh bộ trả tiền và khuyến cáo khách hàng không tiếp tiền mới </v>
      </c>
      <c r="K48" s="46"/>
      <c r="L48" s="46"/>
      <c r="M48" s="46"/>
      <c r="N48" s="46"/>
      <c r="O48" s="46"/>
      <c r="P48" s="46"/>
      <c r="Q48" s="46" t="str">
        <f>IFERROR(__xludf.DUMMYFUNCTION("""COMPUTED_VALUE"""),"Hoàn thành")</f>
        <v>Hoàn thành</v>
      </c>
      <c r="R48" s="46"/>
      <c r="S48" s="46"/>
      <c r="T48" s="46"/>
      <c r="U48" s="46"/>
      <c r="V48" s="46"/>
      <c r="W48" s="46"/>
      <c r="X48" s="46"/>
      <c r="Y48" s="46"/>
      <c r="Z48" s="46"/>
      <c r="AA48" s="46"/>
    </row>
    <row r="49">
      <c r="A49" s="55">
        <f>IFERROR(__xludf.DUMMYFUNCTION("""COMPUTED_VALUE"""),44265.74069515047)</f>
        <v>44265.7407</v>
      </c>
      <c r="B49" s="56">
        <f>IFERROR(__xludf.DUMMYFUNCTION("""COMPUTED_VALUE"""),44265.0)</f>
        <v>44265</v>
      </c>
      <c r="C49" s="59" t="str">
        <f t="shared" si="2"/>
        <v/>
      </c>
      <c r="D49" s="46" t="str">
        <f>IFERROR(__xludf.DUMMYFUNCTION("""COMPUTED_VALUE"""),"Tuanva")</f>
        <v>Tuanva</v>
      </c>
      <c r="E49" s="57" t="str">
        <f>IFERROR(__xludf.DUMMYFUNCTION("""COMPUTED_VALUE"""),"5310182702")</f>
        <v>5310182702</v>
      </c>
      <c r="F49" s="46" t="str">
        <f>IFERROR(__xludf.DUMMYFUNCTION("""COMPUTED_VALUE"""),"Số 304 Nguyễn Văn Linh, P.Hiến Nam, TP Hưng Yên, tỉnh Hưng Yên")</f>
        <v>Số 304 Nguyễn Văn Linh, P.Hiến Nam, TP Hưng Yên, tỉnh Hưng Yên</v>
      </c>
      <c r="G49" s="46" t="str">
        <f>IFERROR(__xludf.DUMMYFUNCTION("""COMPUTED_VALUE"""),"Ghost lại bản mới")</f>
        <v>Ghost lại bản mới</v>
      </c>
      <c r="H49" s="46"/>
      <c r="I49" s="46"/>
      <c r="J49" s="46" t="str">
        <f>IFERROR(__xludf.DUMMYFUNCTION("""COMPUTED_VALUE"""),"Ghost lại bản mới")</f>
        <v>Ghost lại bản mới</v>
      </c>
      <c r="K49" s="46"/>
      <c r="L49" s="46"/>
      <c r="M49" s="46"/>
      <c r="N49" s="46"/>
      <c r="O49" s="46"/>
      <c r="P49" s="46"/>
      <c r="Q49" s="46" t="str">
        <f>IFERROR(__xludf.DUMMYFUNCTION("""COMPUTED_VALUE"""),"Hoàn thành")</f>
        <v>Hoàn thành</v>
      </c>
      <c r="R49" s="46"/>
      <c r="S49" s="46"/>
      <c r="T49" s="46"/>
      <c r="U49" s="46"/>
      <c r="V49" s="46"/>
      <c r="W49" s="46"/>
      <c r="X49" s="46"/>
      <c r="Y49" s="46"/>
      <c r="Z49" s="46"/>
      <c r="AA49" s="46"/>
    </row>
    <row r="50">
      <c r="A50" s="55">
        <f>IFERROR(__xludf.DUMMYFUNCTION("""COMPUTED_VALUE"""),44265.741803564815)</f>
        <v>44265.7418</v>
      </c>
      <c r="B50" s="56">
        <f>IFERROR(__xludf.DUMMYFUNCTION("""COMPUTED_VALUE"""),44265.0)</f>
        <v>44265</v>
      </c>
      <c r="C50" s="59" t="str">
        <f t="shared" si="2"/>
        <v/>
      </c>
      <c r="D50" s="46" t="str">
        <f>IFERROR(__xludf.DUMMYFUNCTION("""COMPUTED_VALUE"""),"Tuanva")</f>
        <v>Tuanva</v>
      </c>
      <c r="E50" s="57" t="str">
        <f>IFERROR(__xludf.DUMMYFUNCTION("""COMPUTED_VALUE"""),"5310180972")</f>
        <v>5310180972</v>
      </c>
      <c r="F50" s="46" t="str">
        <f>IFERROR(__xludf.DUMMYFUNCTION("""COMPUTED_VALUE"""),"Số 04 đường Hà Nội, phường Thượng Lý, Q. Hồng Bàng, TP.Hải Phòng")</f>
        <v>Số 04 đường Hà Nội, phường Thượng Lý, Q. Hồng Bàng, TP.Hải Phòng</v>
      </c>
      <c r="G50" s="46" t="str">
        <f>IFERROR(__xludf.DUMMYFUNCTION("""COMPUTED_VALUE"""),"Lỗi 1.7 do hộp loại")</f>
        <v>Lỗi 1.7 do hộp loại</v>
      </c>
      <c r="H50" s="46"/>
      <c r="I50" s="46"/>
      <c r="J50" s="46" t="str">
        <f>IFERROR(__xludf.DUMMYFUNCTION("""COMPUTED_VALUE"""),"Hộp loại lỗi")</f>
        <v>Hộp loại lỗi</v>
      </c>
      <c r="K50" s="46"/>
      <c r="L50" s="46"/>
      <c r="M50" s="46"/>
      <c r="N50" s="46"/>
      <c r="O50" s="46"/>
      <c r="P50" s="46"/>
      <c r="Q50" s="46" t="str">
        <f>IFERROR(__xludf.DUMMYFUNCTION("""COMPUTED_VALUE"""),"Hoàn thành")</f>
        <v>Hoàn thành</v>
      </c>
      <c r="R50" s="46"/>
      <c r="S50" s="46"/>
      <c r="T50" s="46"/>
      <c r="U50" s="46"/>
      <c r="V50" s="46"/>
      <c r="W50" s="46"/>
      <c r="X50" s="46"/>
      <c r="Y50" s="46"/>
      <c r="Z50" s="46"/>
      <c r="AA50" s="46"/>
    </row>
    <row r="51">
      <c r="A51" s="55">
        <f>IFERROR(__xludf.DUMMYFUNCTION("""COMPUTED_VALUE"""),44265.74272995371)</f>
        <v>44265.74273</v>
      </c>
      <c r="B51" s="56">
        <f>IFERROR(__xludf.DUMMYFUNCTION("""COMPUTED_VALUE"""),44265.0)</f>
        <v>44265</v>
      </c>
      <c r="C51" s="59" t="str">
        <f t="shared" si="2"/>
        <v/>
      </c>
      <c r="D51" s="46" t="str">
        <f>IFERROR(__xludf.DUMMYFUNCTION("""COMPUTED_VALUE"""),"Tuanva")</f>
        <v>Tuanva</v>
      </c>
      <c r="E51" s="57" t="str">
        <f>IFERROR(__xludf.DUMMYFUNCTION("""COMPUTED_VALUE"""),"5310107143")</f>
        <v>5310107143</v>
      </c>
      <c r="F51" s="46" t="str">
        <f>IFERROR(__xludf.DUMMYFUNCTION("""COMPUTED_VALUE"""),"Số 199 Tô Hiệu, phường Hồ Nam, Quận Lê Chân")</f>
        <v>Số 199 Tô Hiệu, phường Hồ Nam, Quận Lê Chân</v>
      </c>
      <c r="G51" s="46" t="str">
        <f>IFERROR(__xludf.DUMMYFUNCTION("""COMPUTED_VALUE"""),"Hộp loại bị vỡ bánh răng vàng,ko đẩy dc tiền vào hộp loại")</f>
        <v>Hộp loại bị vỡ bánh răng vàng,ko đẩy dc tiền vào hộp loại</v>
      </c>
      <c r="H51" s="46"/>
      <c r="I51" s="46"/>
      <c r="J51" s="46" t="str">
        <f>IFERROR(__xludf.DUMMYFUNCTION("""COMPUTED_VALUE"""),"Thay bánh răng cho hộp tiền loại")</f>
        <v>Thay bánh răng cho hộp tiền loại</v>
      </c>
      <c r="K51" s="46"/>
      <c r="L51" s="46"/>
      <c r="M51" s="46"/>
      <c r="N51" s="46"/>
      <c r="O51" s="46"/>
      <c r="P51" s="46"/>
      <c r="Q51" s="46" t="str">
        <f>IFERROR(__xludf.DUMMYFUNCTION("""COMPUTED_VALUE"""),"Hoàn thành")</f>
        <v>Hoàn thành</v>
      </c>
      <c r="R51" s="46"/>
      <c r="S51" s="46"/>
      <c r="T51" s="46"/>
      <c r="U51" s="46"/>
      <c r="V51" s="46"/>
      <c r="W51" s="46"/>
      <c r="X51" s="46"/>
      <c r="Y51" s="46"/>
      <c r="Z51" s="46"/>
      <c r="AA51" s="46"/>
    </row>
    <row r="52">
      <c r="A52" s="55">
        <f>IFERROR(__xludf.DUMMYFUNCTION("""COMPUTED_VALUE"""),44265.79779055556)</f>
        <v>44265.79779</v>
      </c>
      <c r="B52" s="56">
        <f>IFERROR(__xludf.DUMMYFUNCTION("""COMPUTED_VALUE"""),44264.0)</f>
        <v>44264</v>
      </c>
      <c r="C52" s="59" t="str">
        <f t="shared" si="2"/>
        <v/>
      </c>
      <c r="D52" s="46" t="str">
        <f>IFERROR(__xludf.DUMMYFUNCTION("""COMPUTED_VALUE"""),"Duclb")</f>
        <v>Duclb</v>
      </c>
      <c r="E52" s="57" t="str">
        <f>IFERROR(__xludf.DUMMYFUNCTION("""COMPUTED_VALUE"""),"5300380063")</f>
        <v>5300380063</v>
      </c>
      <c r="F52" s="46" t="str">
        <f>IFERROR(__xludf.DUMMYFUNCTION("""COMPUTED_VALUE"""),"Thị trấn Vương - Tiên Lữ - Hưng Yên")</f>
        <v>Thị trấn Vương - Tiên Lữ - Hưng Yên</v>
      </c>
      <c r="G52" s="46" t="str">
        <f>IFERROR(__xludf.DUMMYFUNCTION("""COMPUTED_VALUE"""),"Tiền loại nhiều")</f>
        <v>Tiền loại nhiều</v>
      </c>
      <c r="H52" s="46"/>
      <c r="I52" s="46" t="str">
        <f>IFERROR(__xludf.DUMMYFUNCTION("""COMPUTED_VALUE"""),"Bảo trì")</f>
        <v>Bảo trì</v>
      </c>
      <c r="J52" s="46"/>
      <c r="K52" s="46" t="str">
        <f>IFERROR(__xludf.DUMMYFUNCTION("""COMPUTED_VALUE"""),"01 trục đen")</f>
        <v>01 trục đen</v>
      </c>
      <c r="L52" s="46" t="str">
        <f>IFERROR(__xludf.DUMMYFUNCTION("""COMPUTED_VALUE"""),"01 trục đỡ")</f>
        <v>01 trục đỡ</v>
      </c>
      <c r="M52" s="46"/>
      <c r="N52" s="46"/>
      <c r="O52" s="46"/>
      <c r="P52" s="46"/>
      <c r="Q52" s="46" t="str">
        <f>IFERROR(__xludf.DUMMYFUNCTION("""COMPUTED_VALUE"""),"Hoàn thành")</f>
        <v>Hoàn thành</v>
      </c>
      <c r="R52" s="46"/>
      <c r="S52" s="46"/>
      <c r="T52" s="46"/>
      <c r="U52" s="46"/>
      <c r="V52" s="46"/>
      <c r="W52" s="46"/>
      <c r="X52" s="46"/>
      <c r="Y52" s="46"/>
      <c r="Z52" s="46"/>
      <c r="AA52" s="46"/>
    </row>
    <row r="53">
      <c r="A53" s="55">
        <f>IFERROR(__xludf.DUMMYFUNCTION("""COMPUTED_VALUE"""),44265.798685925925)</f>
        <v>44265.79869</v>
      </c>
      <c r="B53" s="56">
        <f>IFERROR(__xludf.DUMMYFUNCTION("""COMPUTED_VALUE"""),44265.0)</f>
        <v>44265</v>
      </c>
      <c r="C53" s="59" t="str">
        <f t="shared" si="2"/>
        <v/>
      </c>
      <c r="D53" s="46" t="str">
        <f>IFERROR(__xludf.DUMMYFUNCTION("""COMPUTED_VALUE"""),"Duclb")</f>
        <v>Duclb</v>
      </c>
      <c r="E53" s="57" t="str">
        <f>IFERROR(__xludf.DUMMYFUNCTION("""COMPUTED_VALUE"""),"56hg707977")</f>
        <v>56hg707977</v>
      </c>
      <c r="F53" s="46" t="str">
        <f>IFERROR(__xludf.DUMMYFUNCTION("""COMPUTED_VALUE"""),"Công ty TNHH Vinasolar Technology Khu công nghiệp Vân Trung, xã Vân Trung, huyện Việt Yên, tỉnh Bắc Giang")</f>
        <v>Công ty TNHH Vinasolar Technology Khu công nghiệp Vân Trung, xã Vân Trung, huyện Việt Yên, tỉnh Bắc Giang</v>
      </c>
      <c r="G53" s="46" t="str">
        <f>IFERROR(__xludf.DUMMYFUNCTION("""COMPUTED_VALUE"""),"Tiền loại nhiều")</f>
        <v>Tiền loại nhiều</v>
      </c>
      <c r="H53" s="46"/>
      <c r="I53" s="46" t="str">
        <f>IFERROR(__xludf.DUMMYFUNCTION("""COMPUTED_VALUE"""),"Bảo trì")</f>
        <v>Bảo trì</v>
      </c>
      <c r="J53" s="46"/>
      <c r="K53" s="46" t="str">
        <f>IFERROR(__xludf.DUMMYFUNCTION("""COMPUTED_VALUE"""),"01 trục quấn")</f>
        <v>01 trục quấn</v>
      </c>
      <c r="L53" s="46" t="str">
        <f>IFERROR(__xludf.DUMMYFUNCTION("""COMPUTED_VALUE"""),"01 trục đỡ")</f>
        <v>01 trục đỡ</v>
      </c>
      <c r="M53" s="46" t="str">
        <f>IFERROR(__xludf.DUMMYFUNCTION("""COMPUTED_VALUE"""),"02 dây cuaroa")</f>
        <v>02 dây cuaroa</v>
      </c>
      <c r="N53" s="46" t="str">
        <f>IFERROR(__xludf.DUMMYFUNCTION("""COMPUTED_VALUE"""),"09 picker")</f>
        <v>09 picker</v>
      </c>
      <c r="O53" s="46"/>
      <c r="P53" s="46"/>
      <c r="Q53" s="46" t="str">
        <f>IFERROR(__xludf.DUMMYFUNCTION("""COMPUTED_VALUE"""),"Hoàn thành")</f>
        <v>Hoàn thành</v>
      </c>
      <c r="R53" s="46"/>
      <c r="S53" s="46"/>
      <c r="T53" s="46"/>
      <c r="U53" s="46"/>
      <c r="V53" s="46"/>
      <c r="W53" s="46"/>
      <c r="X53" s="46"/>
      <c r="Y53" s="46"/>
      <c r="Z53" s="46"/>
      <c r="AA53" s="46"/>
    </row>
    <row r="54">
      <c r="A54" s="55">
        <f>IFERROR(__xludf.DUMMYFUNCTION("""COMPUTED_VALUE"""),44265.97369849537)</f>
        <v>44265.9737</v>
      </c>
      <c r="B54" s="56">
        <f>IFERROR(__xludf.DUMMYFUNCTION("""COMPUTED_VALUE"""),44259.0)</f>
        <v>44259</v>
      </c>
      <c r="C54" s="59" t="str">
        <f t="shared" si="2"/>
        <v>Báo cáo muộn</v>
      </c>
      <c r="D54" s="46" t="str">
        <f>IFERROR(__xludf.DUMMYFUNCTION("""COMPUTED_VALUE"""),"thangnx")</f>
        <v>thangnx</v>
      </c>
      <c r="E54" s="57" t="str">
        <f>IFERROR(__xludf.DUMMYFUNCTION("""COMPUTED_VALUE"""),"J821006597")</f>
        <v>J821006597</v>
      </c>
      <c r="F54" s="46" t="str">
        <f>IFERROR(__xludf.DUMMYFUNCTION("""COMPUTED_VALUE"""),"KIOT 2.2 B1 tòa nhà ROMA – Đ/C Đường Tố Hữu, P. Đại Mỗ, Q. Nam Từ Liêm, TP. Hà Nội.")</f>
        <v>KIOT 2.2 B1 tòa nhà ROMA – Đ/C Đường Tố Hữu, P. Đại Mỗ, Q. Nam Từ Liêm, TP. Hà Nội.</v>
      </c>
      <c r="G54" s="46" t="str">
        <f>IFERROR(__xludf.DUMMYFUNCTION("""COMPUTED_VALUE"""),"Lỗi máy in hóa đơn")</f>
        <v>Lỗi máy in hóa đơn</v>
      </c>
      <c r="H54" s="46"/>
      <c r="I54" s="46"/>
      <c r="J54" s="46" t="str">
        <f>IFERROR(__xludf.DUMMYFUNCTION("""COMPUTED_VALUE"""),"Thay vòng cao su")</f>
        <v>Thay vòng cao su</v>
      </c>
      <c r="K54" s="46" t="str">
        <f>IFERROR(__xludf.DUMMYFUNCTION("""COMPUTED_VALUE"""),"04 vòng cao su shutter máy in")</f>
        <v>04 vòng cao su shutter máy in</v>
      </c>
      <c r="L54" s="46"/>
      <c r="M54" s="46"/>
      <c r="N54" s="46"/>
      <c r="O54" s="46"/>
      <c r="P54" s="46"/>
      <c r="Q54" s="46" t="str">
        <f>IFERROR(__xludf.DUMMYFUNCTION("""COMPUTED_VALUE"""),"Hoàn thành")</f>
        <v>Hoàn thành</v>
      </c>
      <c r="R54" s="46"/>
      <c r="S54" s="46"/>
      <c r="T54" s="46"/>
      <c r="U54" s="46"/>
      <c r="V54" s="46"/>
      <c r="W54" s="46"/>
      <c r="X54" s="46"/>
      <c r="Y54" s="46"/>
      <c r="Z54" s="46"/>
      <c r="AA54" s="46"/>
    </row>
    <row r="55">
      <c r="A55" s="55">
        <f>IFERROR(__xludf.DUMMYFUNCTION("""COMPUTED_VALUE"""),44265.97435741898)</f>
        <v>44265.97436</v>
      </c>
      <c r="B55" s="56">
        <f>IFERROR(__xludf.DUMMYFUNCTION("""COMPUTED_VALUE"""),44259.0)</f>
        <v>44259</v>
      </c>
      <c r="C55" s="59" t="str">
        <f t="shared" si="2"/>
        <v>Báo cáo muộn</v>
      </c>
      <c r="D55" s="46" t="str">
        <f>IFERROR(__xludf.DUMMYFUNCTION("""COMPUTED_VALUE"""),"thangnx")</f>
        <v>thangnx</v>
      </c>
      <c r="E55" s="57" t="str">
        <f>IFERROR(__xludf.DUMMYFUNCTION("""COMPUTED_VALUE"""),"5300380894")</f>
        <v>5300380894</v>
      </c>
      <c r="F55" s="46" t="str">
        <f>IFERROR(__xludf.DUMMYFUNCTION("""COMPUTED_VALUE"""),"NHNo Vĩnh Tường - Vĩnh Tường - Vĩnh Phúc")</f>
        <v>NHNo Vĩnh Tường - Vĩnh Tường - Vĩnh Phúc</v>
      </c>
      <c r="G55" s="46" t="str">
        <f>IFERROR(__xludf.DUMMYFUNCTION("""COMPUTED_VALUE"""),"Lỗi máy in hóa đơn")</f>
        <v>Lỗi máy in hóa đơn</v>
      </c>
      <c r="H55" s="46"/>
      <c r="I55" s="46"/>
      <c r="J55" s="46"/>
      <c r="K55" s="46" t="str">
        <f>IFERROR(__xludf.DUMMYFUNCTION("""COMPUTED_VALUE"""),"04 vòng cao su shutter máy in")</f>
        <v>04 vòng cao su shutter máy in</v>
      </c>
      <c r="L55" s="46"/>
      <c r="M55" s="46"/>
      <c r="N55" s="46"/>
      <c r="O55" s="46"/>
      <c r="P55" s="46"/>
      <c r="Q55" s="46" t="str">
        <f>IFERROR(__xludf.DUMMYFUNCTION("""COMPUTED_VALUE"""),"Hoàn thành")</f>
        <v>Hoàn thành</v>
      </c>
      <c r="R55" s="46"/>
      <c r="S55" s="46"/>
      <c r="T55" s="46"/>
      <c r="U55" s="46"/>
      <c r="V55" s="46"/>
      <c r="W55" s="46"/>
      <c r="X55" s="46"/>
      <c r="Y55" s="46"/>
      <c r="Z55" s="46"/>
      <c r="AA55" s="46"/>
    </row>
    <row r="56">
      <c r="A56" s="55">
        <f>IFERROR(__xludf.DUMMYFUNCTION("""COMPUTED_VALUE"""),44265.98015780092)</f>
        <v>44265.98016</v>
      </c>
      <c r="B56" s="56">
        <f>IFERROR(__xludf.DUMMYFUNCTION("""COMPUTED_VALUE"""),44260.0)</f>
        <v>44260</v>
      </c>
      <c r="C56" s="59" t="str">
        <f t="shared" si="2"/>
        <v>Báo cáo muộn</v>
      </c>
      <c r="D56" s="46" t="str">
        <f>IFERROR(__xludf.DUMMYFUNCTION("""COMPUTED_VALUE"""),"thangnx")</f>
        <v>thangnx</v>
      </c>
      <c r="E56" s="57" t="str">
        <f>IFERROR(__xludf.DUMMYFUNCTION("""COMPUTED_VALUE"""),"5310106165")</f>
        <v>5310106165</v>
      </c>
      <c r="F56" s="46" t="str">
        <f>IFERROR(__xludf.DUMMYFUNCTION("""COMPUTED_VALUE"""),"K85+500 QL 10, xã Tân Bình, TP. Thái Bình")</f>
        <v>K85+500 QL 10, xã Tân Bình, TP. Thái Bình</v>
      </c>
      <c r="G56" s="46" t="str">
        <f>IFERROR(__xludf.DUMMYFUNCTION("""COMPUTED_VALUE"""),"Tiền loại nhiều")</f>
        <v>Tiền loại nhiều</v>
      </c>
      <c r="H56" s="46"/>
      <c r="I56" s="46"/>
      <c r="J56" s="46" t="str">
        <f>IFERROR(__xludf.DUMMYFUNCTION("""COMPUTED_VALUE"""),"Vệ sinh pick roller")</f>
        <v>Vệ sinh pick roller</v>
      </c>
      <c r="K56" s="46"/>
      <c r="L56" s="46"/>
      <c r="M56" s="46"/>
      <c r="N56" s="46"/>
      <c r="O56" s="46"/>
      <c r="P56" s="46"/>
      <c r="Q56" s="46" t="str">
        <f>IFERROR(__xludf.DUMMYFUNCTION("""COMPUTED_VALUE"""),"Hoàn thành")</f>
        <v>Hoàn thành</v>
      </c>
      <c r="R56" s="46"/>
      <c r="S56" s="46"/>
      <c r="T56" s="46"/>
      <c r="U56" s="46"/>
      <c r="V56" s="46"/>
      <c r="W56" s="46"/>
      <c r="X56" s="46"/>
      <c r="Y56" s="46"/>
      <c r="Z56" s="46"/>
      <c r="AA56" s="46"/>
    </row>
    <row r="57">
      <c r="A57" s="55">
        <f>IFERROR(__xludf.DUMMYFUNCTION("""COMPUTED_VALUE"""),44265.98048456019)</f>
        <v>44265.98048</v>
      </c>
      <c r="B57" s="56">
        <f>IFERROR(__xludf.DUMMYFUNCTION("""COMPUTED_VALUE"""),44260.0)</f>
        <v>44260</v>
      </c>
      <c r="C57" s="59" t="str">
        <f t="shared" si="2"/>
        <v>Báo cáo muộn</v>
      </c>
      <c r="D57" s="46" t="str">
        <f>IFERROR(__xludf.DUMMYFUNCTION("""COMPUTED_VALUE"""),"thangnx")</f>
        <v>thangnx</v>
      </c>
      <c r="E57" s="57" t="str">
        <f>IFERROR(__xludf.DUMMYFUNCTION("""COMPUTED_VALUE"""),"5310182590")</f>
        <v>5310182590</v>
      </c>
      <c r="F57" s="46" t="str">
        <f>IFERROR(__xludf.DUMMYFUNCTION("""COMPUTED_VALUE"""),"Số 03, Phố Tiểu Hoàng, TT Tiền Hải, Tỉnh Thái Bình")</f>
        <v>Số 03, Phố Tiểu Hoàng, TT Tiền Hải, Tỉnh Thái Bình</v>
      </c>
      <c r="G57" s="46" t="str">
        <f>IFERROR(__xludf.DUMMYFUNCTION("""COMPUTED_VALUE"""),"Tiền loại nhiều")</f>
        <v>Tiền loại nhiều</v>
      </c>
      <c r="H57" s="46"/>
      <c r="I57" s="46"/>
      <c r="J57" s="46" t="str">
        <f>IFERROR(__xludf.DUMMYFUNCTION("""COMPUTED_VALUE"""),"Vệ sinh pick roller")</f>
        <v>Vệ sinh pick roller</v>
      </c>
      <c r="K57" s="46"/>
      <c r="L57" s="46"/>
      <c r="M57" s="46"/>
      <c r="N57" s="46"/>
      <c r="O57" s="46"/>
      <c r="P57" s="46"/>
      <c r="Q57" s="46" t="str">
        <f>IFERROR(__xludf.DUMMYFUNCTION("""COMPUTED_VALUE"""),"Hoàn thành")</f>
        <v>Hoàn thành</v>
      </c>
      <c r="R57" s="46"/>
      <c r="S57" s="46"/>
      <c r="T57" s="46"/>
      <c r="U57" s="46"/>
      <c r="V57" s="46"/>
      <c r="W57" s="46"/>
      <c r="X57" s="46"/>
      <c r="Y57" s="46"/>
      <c r="Z57" s="46"/>
      <c r="AA57" s="46"/>
    </row>
    <row r="58">
      <c r="A58" s="55">
        <f>IFERROR(__xludf.DUMMYFUNCTION("""COMPUTED_VALUE"""),44265.98184768519)</f>
        <v>44265.98185</v>
      </c>
      <c r="B58" s="56">
        <f>IFERROR(__xludf.DUMMYFUNCTION("""COMPUTED_VALUE"""),44263.0)</f>
        <v>44263</v>
      </c>
      <c r="C58" s="59" t="str">
        <f t="shared" si="2"/>
        <v>Báo cáo muộn</v>
      </c>
      <c r="D58" s="46" t="str">
        <f>IFERROR(__xludf.DUMMYFUNCTION("""COMPUTED_VALUE"""),"thangnx")</f>
        <v>thangnx</v>
      </c>
      <c r="E58" s="57" t="str">
        <f>IFERROR(__xludf.DUMMYFUNCTION("""COMPUTED_VALUE"""),"5300380366")</f>
        <v>5300380366</v>
      </c>
      <c r="F58" s="46" t="str">
        <f>IFERROR(__xludf.DUMMYFUNCTION("""COMPUTED_VALUE"""),"Thị trấn Quỳnh Côi, H. Quỳnh Phụ, Thái Bình")</f>
        <v>Thị trấn Quỳnh Côi, H. Quỳnh Phụ, Thái Bình</v>
      </c>
      <c r="G58" s="46" t="str">
        <f>IFERROR(__xludf.DUMMYFUNCTION("""COMPUTED_VALUE"""),"Lỗi Card Reader")</f>
        <v>Lỗi Card Reader</v>
      </c>
      <c r="H58" s="46"/>
      <c r="I58" s="46"/>
      <c r="J58" s="46" t="str">
        <f>IFERROR(__xludf.DUMMYFUNCTION("""COMPUTED_VALUE"""),"Vệ sinh sensor đầu đọc thẻ, thay thế shutter đầu đọc thẻ")</f>
        <v>Vệ sinh sensor đầu đọc thẻ, thay thế shutter đầu đọc thẻ</v>
      </c>
      <c r="K58" s="46"/>
      <c r="L58" s="46"/>
      <c r="M58" s="46"/>
      <c r="N58" s="46"/>
      <c r="O58" s="46"/>
      <c r="P58" s="46"/>
      <c r="Q58" s="46" t="str">
        <f>IFERROR(__xludf.DUMMYFUNCTION("""COMPUTED_VALUE"""),"Hoàn thành")</f>
        <v>Hoàn thành</v>
      </c>
      <c r="R58" s="46"/>
      <c r="S58" s="46"/>
      <c r="T58" s="46"/>
      <c r="U58" s="46"/>
      <c r="V58" s="46"/>
      <c r="W58" s="46"/>
      <c r="X58" s="46"/>
      <c r="Y58" s="46"/>
      <c r="Z58" s="46"/>
      <c r="AA58" s="46"/>
    </row>
    <row r="59">
      <c r="A59" s="55">
        <f>IFERROR(__xludf.DUMMYFUNCTION("""COMPUTED_VALUE"""),44265.98255929398)</f>
        <v>44265.98256</v>
      </c>
      <c r="B59" s="56">
        <f>IFERROR(__xludf.DUMMYFUNCTION("""COMPUTED_VALUE"""),44264.0)</f>
        <v>44264</v>
      </c>
      <c r="C59" s="59" t="str">
        <f t="shared" si="2"/>
        <v/>
      </c>
      <c r="D59" s="46" t="str">
        <f>IFERROR(__xludf.DUMMYFUNCTION("""COMPUTED_VALUE"""),"thangnx")</f>
        <v>thangnx</v>
      </c>
      <c r="E59" s="57" t="str">
        <f>IFERROR(__xludf.DUMMYFUNCTION("""COMPUTED_VALUE"""),"5310180613")</f>
        <v>5310180613</v>
      </c>
      <c r="F59" s="46" t="str">
        <f>IFERROR(__xludf.DUMMYFUNCTION("""COMPUTED_VALUE"""),"Số 155 Trần Hưng Đạo, TT Quỳnh Côi, Quỳnh Phụ, TB")</f>
        <v>Số 155 Trần Hưng Đạo, TT Quỳnh Côi, Quỳnh Phụ, TB</v>
      </c>
      <c r="G59" s="46" t="str">
        <f>IFERROR(__xludf.DUMMYFUNCTION("""COMPUTED_VALUE"""),"lỗi shutter")</f>
        <v>lỗi shutter</v>
      </c>
      <c r="H59" s="46"/>
      <c r="I59" s="46"/>
      <c r="J59" s="46" t="str">
        <f>IFERROR(__xludf.DUMMYFUNCTION("""COMPUTED_VALUE"""),"Fix lại sensor, bánh răng shutter")</f>
        <v>Fix lại sensor, bánh răng shutter</v>
      </c>
      <c r="K59" s="46"/>
      <c r="L59" s="46"/>
      <c r="M59" s="46"/>
      <c r="N59" s="46"/>
      <c r="O59" s="46"/>
      <c r="P59" s="46"/>
      <c r="Q59" s="46" t="str">
        <f>IFERROR(__xludf.DUMMYFUNCTION("""COMPUTED_VALUE"""),"Hoàn thành")</f>
        <v>Hoàn thành</v>
      </c>
      <c r="R59" s="46"/>
      <c r="S59" s="46"/>
      <c r="T59" s="46"/>
      <c r="U59" s="46"/>
      <c r="V59" s="46"/>
      <c r="W59" s="46"/>
      <c r="X59" s="46"/>
      <c r="Y59" s="46"/>
      <c r="Z59" s="46"/>
      <c r="AA59" s="46"/>
    </row>
    <row r="60">
      <c r="A60" s="55">
        <f>IFERROR(__xludf.DUMMYFUNCTION("""COMPUTED_VALUE"""),44265.98287317129)</f>
        <v>44265.98287</v>
      </c>
      <c r="B60" s="56">
        <f>IFERROR(__xludf.DUMMYFUNCTION("""COMPUTED_VALUE"""),44265.0)</f>
        <v>44265</v>
      </c>
      <c r="C60" s="59" t="str">
        <f t="shared" si="2"/>
        <v/>
      </c>
      <c r="D60" s="46" t="str">
        <f>IFERROR(__xludf.DUMMYFUNCTION("""COMPUTED_VALUE"""),"thangnx")</f>
        <v>thangnx</v>
      </c>
      <c r="E60" s="57" t="str">
        <f>IFERROR(__xludf.DUMMYFUNCTION("""COMPUTED_VALUE"""),"5310107302")</f>
        <v>5310107302</v>
      </c>
      <c r="F60" s="46" t="str">
        <f>IFERROR(__xludf.DUMMYFUNCTION("""COMPUTED_VALUE"""),"PGD Hương Xạ, xã hương Xạ, huyện Hạ Hoà, tỉnh Phú Thọ")</f>
        <v>PGD Hương Xạ, xã hương Xạ, huyện Hạ Hoà, tỉnh Phú Thọ</v>
      </c>
      <c r="G60" s="46" t="str">
        <f>IFERROR(__xludf.DUMMYFUNCTION("""COMPUTED_VALUE"""),"Tiền loại nhiều")</f>
        <v>Tiền loại nhiều</v>
      </c>
      <c r="H60" s="46"/>
      <c r="I60" s="46"/>
      <c r="J60" s="46" t="str">
        <f>IFERROR(__xludf.DUMMYFUNCTION("""COMPUTED_VALUE"""),"Vệ sinh pick roller")</f>
        <v>Vệ sinh pick roller</v>
      </c>
      <c r="K60" s="46"/>
      <c r="L60" s="46"/>
      <c r="M60" s="46"/>
      <c r="N60" s="46"/>
      <c r="O60" s="46"/>
      <c r="P60" s="46"/>
      <c r="Q60" s="46" t="str">
        <f>IFERROR(__xludf.DUMMYFUNCTION("""COMPUTED_VALUE"""),"Hoàn thành")</f>
        <v>Hoàn thành</v>
      </c>
      <c r="R60" s="46"/>
      <c r="S60" s="46"/>
      <c r="T60" s="46"/>
      <c r="U60" s="46"/>
      <c r="V60" s="46"/>
      <c r="W60" s="46"/>
      <c r="X60" s="46"/>
      <c r="Y60" s="46"/>
      <c r="Z60" s="46"/>
      <c r="AA60" s="46"/>
    </row>
    <row r="61">
      <c r="A61" s="55">
        <f>IFERROR(__xludf.DUMMYFUNCTION("""COMPUTED_VALUE"""),44266.34957289352)</f>
        <v>44266.34957</v>
      </c>
      <c r="B61" s="56">
        <f>IFERROR(__xludf.DUMMYFUNCTION("""COMPUTED_VALUE"""),44265.0)</f>
        <v>44265</v>
      </c>
      <c r="C61" s="59" t="str">
        <f t="shared" si="2"/>
        <v/>
      </c>
      <c r="D61" s="46" t="str">
        <f>IFERROR(__xludf.DUMMYFUNCTION("""COMPUTED_VALUE"""),"tienvm")</f>
        <v>tienvm</v>
      </c>
      <c r="E61" s="61" t="str">
        <f>IFERROR(__xludf.DUMMYFUNCTION("""COMPUTED_VALUE"""),"56HG805389")</f>
        <v>56HG805389</v>
      </c>
      <c r="F61" s="46" t="str">
        <f>IFERROR(__xludf.DUMMYFUNCTION("""COMPUTED_VALUE"""),"Xưởng sửa chữa xe tăng X32 + Kho Y, xã Kim Long, huyện Tam Dương, tỉnh Vĩnh Phúc")</f>
        <v>Xưởng sửa chữa xe tăng X32 + Kho Y, xã Kim Long, huyện Tam Dương, tỉnh Vĩnh Phúc</v>
      </c>
      <c r="G61" s="46" t="str">
        <f>IFERROR(__xludf.DUMMYFUNCTION("""COMPUTED_VALUE"""),"Hay kẹt tiền miếng nhựa trong")</f>
        <v>Hay kẹt tiền miếng nhựa trong</v>
      </c>
      <c r="H61" s="46"/>
      <c r="I61" s="46" t="str">
        <f>IFERROR(__xludf.DUMMYFUNCTION("""COMPUTED_VALUE"""),"Bảo trì")</f>
        <v>Bảo trì</v>
      </c>
      <c r="J61" s="46" t="str">
        <f>IFERROR(__xludf.DUMMYFUNCTION("""COMPUTED_VALUE"""),"Kiểm tra, vệ sinh toàn bộ máy. Trục đỡ curoa Ex2 mòn nên thay thế. Sau khi thay thế kiểm tra lại không có gì bất thường. Tiếp quỹ và rút test bình thường")</f>
        <v>Kiểm tra, vệ sinh toàn bộ máy. Trục đỡ curoa Ex2 mòn nên thay thế. Sau khi thay thế kiểm tra lại không có gì bất thường. Tiếp quỹ và rút test bình thường</v>
      </c>
      <c r="K61" s="46" t="str">
        <f>IFERROR(__xludf.DUMMYFUNCTION("""COMPUTED_VALUE"""),"01 trục đỡ curoa Ex2")</f>
        <v>01 trục đỡ curoa Ex2</v>
      </c>
      <c r="L61" s="46"/>
      <c r="M61" s="46"/>
      <c r="N61" s="46"/>
      <c r="O61" s="46"/>
      <c r="P61" s="46" t="str">
        <f>IFERROR(__xludf.DUMMYFUNCTION("""COMPUTED_VALUE"""),"Do khách hàng đến trễ và đi ngay nên chỉ theo dõi được một lúc thấy rút ổn.")</f>
        <v>Do khách hàng đến trễ và đi ngay nên chỉ theo dõi được một lúc thấy rút ổn.</v>
      </c>
      <c r="Q61" s="46" t="str">
        <f>IFERROR(__xludf.DUMMYFUNCTION("""COMPUTED_VALUE"""),"Hoàn thành")</f>
        <v>Hoàn thành</v>
      </c>
      <c r="R61" s="46"/>
      <c r="S61" s="46"/>
      <c r="T61" s="46"/>
      <c r="U61" s="46"/>
      <c r="V61" s="46"/>
      <c r="W61" s="46"/>
      <c r="X61" s="46"/>
      <c r="Y61" s="46"/>
      <c r="Z61" s="46"/>
      <c r="AA61" s="46"/>
    </row>
    <row r="62">
      <c r="A62" s="55">
        <f>IFERROR(__xludf.DUMMYFUNCTION("""COMPUTED_VALUE"""),44266.35160548611)</f>
        <v>44266.35161</v>
      </c>
      <c r="B62" s="56">
        <f>IFERROR(__xludf.DUMMYFUNCTION("""COMPUTED_VALUE"""),44265.0)</f>
        <v>44265</v>
      </c>
      <c r="C62" s="59" t="str">
        <f t="shared" si="2"/>
        <v/>
      </c>
      <c r="D62" s="46" t="str">
        <f>IFERROR(__xludf.DUMMYFUNCTION("""COMPUTED_VALUE"""),"tienvm")</f>
        <v>tienvm</v>
      </c>
      <c r="E62" s="57" t="str">
        <f>IFERROR(__xludf.DUMMYFUNCTION("""COMPUTED_VALUE"""),"5300380366")</f>
        <v>5300380366</v>
      </c>
      <c r="F62" s="46" t="str">
        <f>IFERROR(__xludf.DUMMYFUNCTION("""COMPUTED_VALUE"""),"Thị trấn Quỳnh Côi, H. Quỳnh Phụ, Thái Bình")</f>
        <v>Thị trấn Quỳnh Côi, H. Quỳnh Phụ, Thái Bình</v>
      </c>
      <c r="G62" s="46" t="str">
        <f>IFERROR(__xludf.DUMMYFUNCTION("""COMPUTED_VALUE"""),"Lỗi 29")</f>
        <v>Lỗi 29</v>
      </c>
      <c r="H62" s="46"/>
      <c r="I62" s="46" t="str">
        <f>IFERROR(__xludf.DUMMYFUNCTION("""COMPUTED_VALUE"""),"Bảo trì")</f>
        <v>Bảo trì</v>
      </c>
      <c r="J62" s="46" t="str">
        <f>IFERROR(__xludf.DUMMYFUNCTION("""COMPUTED_VALUE"""),"Kiểm tra và Bảo trì toàn bộ thiết bị. Khắc phục, thay thế bo shutter. Clamp kẹt cứng do mẩu nhỏ răng lược rơi vào đường clamp đi, gỡ cho clamp chạy bình thường.")</f>
        <v>Kiểm tra và Bảo trì toàn bộ thiết bị. Khắc phục, thay thế bo shutter. Clamp kẹt cứng do mẩu nhỏ răng lược rơi vào đường clamp đi, gỡ cho clamp chạy bình thường.</v>
      </c>
      <c r="K62" s="46" t="str">
        <f>IFERROR(__xludf.DUMMYFUNCTION("""COMPUTED_VALUE"""),"01 bo shutter")</f>
        <v>01 bo shutter</v>
      </c>
      <c r="L62" s="46"/>
      <c r="M62" s="46"/>
      <c r="N62" s="46"/>
      <c r="O62" s="46"/>
      <c r="P62" s="46"/>
      <c r="Q62" s="46" t="str">
        <f>IFERROR(__xludf.DUMMYFUNCTION("""COMPUTED_VALUE"""),"Hoàn thành")</f>
        <v>Hoàn thành</v>
      </c>
      <c r="R62" s="46"/>
      <c r="S62" s="46"/>
      <c r="T62" s="46"/>
      <c r="U62" s="46"/>
      <c r="V62" s="46"/>
      <c r="W62" s="46"/>
      <c r="X62" s="46"/>
      <c r="Y62" s="46"/>
      <c r="Z62" s="46"/>
      <c r="AA62" s="46"/>
    </row>
    <row r="63">
      <c r="A63" s="55">
        <f>IFERROR(__xludf.DUMMYFUNCTION("""COMPUTED_VALUE"""),44266.37749767361)</f>
        <v>44266.3775</v>
      </c>
      <c r="B63" s="56">
        <f>IFERROR(__xludf.DUMMYFUNCTION("""COMPUTED_VALUE"""),44265.0)</f>
        <v>44265</v>
      </c>
      <c r="C63" s="59" t="str">
        <f t="shared" si="2"/>
        <v/>
      </c>
      <c r="D63" s="46" t="str">
        <f>IFERROR(__xludf.DUMMYFUNCTION("""COMPUTED_VALUE"""),"Tunt")</f>
        <v>Tunt</v>
      </c>
      <c r="E63" s="57" t="str">
        <f>IFERROR(__xludf.DUMMYFUNCTION("""COMPUTED_VALUE"""),"56hg707977")</f>
        <v>56hg707977</v>
      </c>
      <c r="F63" s="46" t="str">
        <f>IFERROR(__xludf.DUMMYFUNCTION("""COMPUTED_VALUE"""),"Công ty TNHH Vinasolar Technology Khu công nghiệp Vân Trung, xã Vân Trung, huyện Việt Yên, tỉnh Bắc Giang")</f>
        <v>Công ty TNHH Vinasolar Technology Khu công nghiệp Vân Trung, xã Vân Trung, huyện Việt Yên, tỉnh Bắc Giang</v>
      </c>
      <c r="G63" s="46" t="str">
        <f>IFERROR(__xludf.DUMMYFUNCTION("""COMPUTED_VALUE"""),"Hay kẹt tiền, bảo trì")</f>
        <v>Hay kẹt tiền, bảo trì</v>
      </c>
      <c r="H63" s="46"/>
      <c r="I63" s="46" t="str">
        <f>IFERROR(__xludf.DUMMYFUNCTION("""COMPUTED_VALUE"""),"Bảo trì")</f>
        <v>Bảo trì</v>
      </c>
      <c r="J63" s="46" t="str">
        <f>IFERROR(__xludf.DUMMYFUNCTION("""COMPUTED_VALUE"""),"Bảo trì")</f>
        <v>Bảo trì</v>
      </c>
      <c r="K63" s="46"/>
      <c r="L63" s="46"/>
      <c r="M63" s="46"/>
      <c r="N63" s="46"/>
      <c r="O63" s="46"/>
      <c r="P63" s="46"/>
      <c r="Q63" s="46" t="str">
        <f>IFERROR(__xludf.DUMMYFUNCTION("""COMPUTED_VALUE"""),"Hoàn thành")</f>
        <v>Hoàn thành</v>
      </c>
      <c r="R63" s="46"/>
      <c r="S63" s="46"/>
      <c r="T63" s="46"/>
      <c r="U63" s="46"/>
      <c r="V63" s="46"/>
      <c r="W63" s="46"/>
      <c r="X63" s="46"/>
      <c r="Y63" s="46"/>
      <c r="Z63" s="46"/>
      <c r="AA63" s="46"/>
    </row>
    <row r="64">
      <c r="A64" s="55">
        <f>IFERROR(__xludf.DUMMYFUNCTION("""COMPUTED_VALUE"""),44266.44701701389)</f>
        <v>44266.44702</v>
      </c>
      <c r="B64" s="56">
        <f>IFERROR(__xludf.DUMMYFUNCTION("""COMPUTED_VALUE"""),44266.0)</f>
        <v>44266</v>
      </c>
      <c r="C64" s="59" t="str">
        <f t="shared" si="2"/>
        <v/>
      </c>
      <c r="D64" s="46" t="str">
        <f>IFERROR(__xludf.DUMMYFUNCTION("""COMPUTED_VALUE"""),"Tunt")</f>
        <v>Tunt</v>
      </c>
      <c r="E64" s="57" t="str">
        <f>IFERROR(__xludf.DUMMYFUNCTION("""COMPUTED_VALUE"""),"5310181673")</f>
        <v>5310181673</v>
      </c>
      <c r="F64" s="46" t="str">
        <f>IFERROR(__xludf.DUMMYFUNCTION("""COMPUTED_VALUE"""),"PGD Tự Lạn, xã Tự Lạn, huyện Việt Yên")</f>
        <v>PGD Tự Lạn, xã Tự Lạn, huyện Việt Yên</v>
      </c>
      <c r="G64" s="46" t="str">
        <f>IFERROR(__xludf.DUMMYFUNCTION("""COMPUTED_VALUE"""),"Lỗi 7-3, bảo trì")</f>
        <v>Lỗi 7-3, bảo trì</v>
      </c>
      <c r="H64" s="46"/>
      <c r="I64" s="46" t="str">
        <f>IFERROR(__xludf.DUMMYFUNCTION("""COMPUTED_VALUE"""),"Bảo trì")</f>
        <v>Bảo trì</v>
      </c>
      <c r="J64" s="46" t="str">
        <f>IFERROR(__xludf.DUMMYFUNCTION("""COMPUTED_VALUE"""),"Bảo trì")</f>
        <v>Bảo trì</v>
      </c>
      <c r="K64" s="46"/>
      <c r="L64" s="46"/>
      <c r="M64" s="46"/>
      <c r="N64" s="46"/>
      <c r="O64" s="46"/>
      <c r="P64" s="46"/>
      <c r="Q64" s="46" t="str">
        <f>IFERROR(__xludf.DUMMYFUNCTION("""COMPUTED_VALUE"""),"Hoàn thành")</f>
        <v>Hoàn thành</v>
      </c>
      <c r="R64" s="46"/>
      <c r="S64" s="46"/>
      <c r="T64" s="46"/>
      <c r="U64" s="46"/>
      <c r="V64" s="46"/>
      <c r="W64" s="46"/>
      <c r="X64" s="46"/>
      <c r="Y64" s="46"/>
      <c r="Z64" s="46"/>
      <c r="AA64" s="46"/>
    </row>
    <row r="65">
      <c r="A65" s="55">
        <f>IFERROR(__xludf.DUMMYFUNCTION("""COMPUTED_VALUE"""),44266.68829233796)</f>
        <v>44266.68829</v>
      </c>
      <c r="B65" s="56">
        <f>IFERROR(__xludf.DUMMYFUNCTION("""COMPUTED_VALUE"""),44266.0)</f>
        <v>44266</v>
      </c>
      <c r="C65" s="59" t="str">
        <f t="shared" si="2"/>
        <v/>
      </c>
      <c r="D65" s="46" t="str">
        <f>IFERROR(__xludf.DUMMYFUNCTION("""COMPUTED_VALUE"""),"Tuanva")</f>
        <v>Tuanva</v>
      </c>
      <c r="E65" s="57" t="str">
        <f>IFERROR(__xludf.DUMMYFUNCTION("""COMPUTED_VALUE"""),"5310107122")</f>
        <v>5310107122</v>
      </c>
      <c r="F65" s="46" t="str">
        <f>IFERROR(__xludf.DUMMYFUNCTION("""COMPUTED_VALUE"""),"Thôn Hòa Lạc, xã Bình Yên, huyện Thạch Thất")</f>
        <v>Thôn Hòa Lạc, xã Bình Yên, huyện Thạch Thất</v>
      </c>
      <c r="G65" s="46" t="str">
        <f>IFERROR(__xludf.DUMMYFUNCTION("""COMPUTED_VALUE"""),"Máy lỗi 20")</f>
        <v>Máy lỗi 20</v>
      </c>
      <c r="H65" s="46"/>
      <c r="I65" s="46"/>
      <c r="J65" s="46" t="str">
        <f>IFERROR(__xludf.DUMMYFUNCTION("""COMPUTED_VALUE"""),"Thay thế 02 trục cuốn dây curoa pre")</f>
        <v>Thay thế 02 trục cuốn dây curoa pre</v>
      </c>
      <c r="K65" s="46"/>
      <c r="L65" s="46"/>
      <c r="M65" s="46"/>
      <c r="N65" s="46"/>
      <c r="O65" s="46"/>
      <c r="P65" s="46"/>
      <c r="Q65" s="46" t="str">
        <f>IFERROR(__xludf.DUMMYFUNCTION("""COMPUTED_VALUE"""),"Hoàn thành")</f>
        <v>Hoàn thành</v>
      </c>
      <c r="R65" s="46"/>
      <c r="S65" s="46"/>
      <c r="T65" s="46"/>
      <c r="U65" s="46"/>
      <c r="V65" s="46"/>
      <c r="W65" s="46"/>
      <c r="X65" s="46"/>
      <c r="Y65" s="46"/>
      <c r="Z65" s="46"/>
      <c r="AA65" s="46"/>
    </row>
    <row r="66">
      <c r="A66" s="55">
        <f>IFERROR(__xludf.DUMMYFUNCTION("""COMPUTED_VALUE"""),44266.68875541667)</f>
        <v>44266.68876</v>
      </c>
      <c r="B66" s="56">
        <f>IFERROR(__xludf.DUMMYFUNCTION("""COMPUTED_VALUE"""),44266.0)</f>
        <v>44266</v>
      </c>
      <c r="C66" s="59" t="str">
        <f t="shared" si="2"/>
        <v/>
      </c>
      <c r="D66" s="46" t="str">
        <f>IFERROR(__xludf.DUMMYFUNCTION("""COMPUTED_VALUE"""),"Tuanva")</f>
        <v>Tuanva</v>
      </c>
      <c r="E66" s="57" t="str">
        <f>IFERROR(__xludf.DUMMYFUNCTION("""COMPUTED_VALUE"""),"5300381795")</f>
        <v>5300381795</v>
      </c>
      <c r="F66" s="46" t="str">
        <f>IFERROR(__xludf.DUMMYFUNCTION("""COMPUTED_VALUE"""),"37 Nguyễn Đăng Đạo, P. Suối Hoa, Bắc Ninh")</f>
        <v>37 Nguyễn Đăng Đạo, P. Suối Hoa, Bắc Ninh</v>
      </c>
      <c r="G66" s="46" t="str">
        <f>IFERROR(__xludf.DUMMYFUNCTION("""COMPUTED_VALUE"""),"Lỗi 26")</f>
        <v>Lỗi 26</v>
      </c>
      <c r="H66" s="46"/>
      <c r="I66" s="46"/>
      <c r="J66" s="46" t="str">
        <f>IFERROR(__xludf.DUMMYFUNCTION("""COMPUTED_VALUE"""),"Thay thế 02 dây curoa ex")</f>
        <v>Thay thế 02 dây curoa ex</v>
      </c>
      <c r="K66" s="46"/>
      <c r="L66" s="46"/>
      <c r="M66" s="46"/>
      <c r="N66" s="46"/>
      <c r="O66" s="46"/>
      <c r="P66" s="46"/>
      <c r="Q66" s="46" t="str">
        <f>IFERROR(__xludf.DUMMYFUNCTION("""COMPUTED_VALUE"""),"Hoàn thành")</f>
        <v>Hoàn thành</v>
      </c>
      <c r="R66" s="46"/>
      <c r="S66" s="46"/>
      <c r="T66" s="46"/>
      <c r="U66" s="46"/>
      <c r="V66" s="46"/>
      <c r="W66" s="46"/>
      <c r="X66" s="46"/>
      <c r="Y66" s="46"/>
      <c r="Z66" s="46"/>
      <c r="AA66" s="46"/>
    </row>
    <row r="67">
      <c r="A67" s="55">
        <f>IFERROR(__xludf.DUMMYFUNCTION("""COMPUTED_VALUE"""),44266.689635393515)</f>
        <v>44266.68964</v>
      </c>
      <c r="B67" s="56">
        <f>IFERROR(__xludf.DUMMYFUNCTION("""COMPUTED_VALUE"""),44266.0)</f>
        <v>44266</v>
      </c>
      <c r="C67" s="46"/>
      <c r="D67" s="46" t="str">
        <f>IFERROR(__xludf.DUMMYFUNCTION("""COMPUTED_VALUE"""),"Tuanva")</f>
        <v>Tuanva</v>
      </c>
      <c r="E67" s="57" t="str">
        <f>IFERROR(__xludf.DUMMYFUNCTION("""COMPUTED_VALUE"""),"5300380027")</f>
        <v>5300380027</v>
      </c>
      <c r="F67" s="46" t="str">
        <f>IFERROR(__xludf.DUMMYFUNCTION("""COMPUTED_VALUE"""),"Tòa nhà Quốc hội, Bắc Sơn, Ba Đình, Hà Nội")</f>
        <v>Tòa nhà Quốc hội, Bắc Sơn, Ba Đình, Hà Nội</v>
      </c>
      <c r="G67" s="46" t="str">
        <f>IFERROR(__xludf.DUMMYFUNCTION("""COMPUTED_VALUE"""),"Tiền loại nhiều")</f>
        <v>Tiền loại nhiều</v>
      </c>
      <c r="H67" s="46"/>
      <c r="I67" s="46" t="str">
        <f>IFERROR(__xludf.DUMMYFUNCTION("""COMPUTED_VALUE"""),"Bảo trì")</f>
        <v>Bảo trì</v>
      </c>
      <c r="J67" s="46"/>
      <c r="K67" s="46"/>
      <c r="L67" s="46"/>
      <c r="M67" s="46"/>
      <c r="N67" s="46"/>
      <c r="O67" s="46"/>
      <c r="P67" s="46"/>
      <c r="Q67" s="46" t="str">
        <f>IFERROR(__xludf.DUMMYFUNCTION("""COMPUTED_VALUE"""),"Hoàn thành")</f>
        <v>Hoàn thành</v>
      </c>
      <c r="R67" s="46"/>
      <c r="S67" s="46"/>
      <c r="T67" s="46"/>
      <c r="U67" s="46"/>
      <c r="V67" s="46"/>
      <c r="W67" s="46"/>
      <c r="X67" s="46"/>
      <c r="Y67" s="46"/>
      <c r="Z67" s="46"/>
      <c r="AA67" s="46"/>
    </row>
    <row r="68">
      <c r="A68" s="55">
        <f>IFERROR(__xludf.DUMMYFUNCTION("""COMPUTED_VALUE"""),44266.76892113426)</f>
        <v>44266.76892</v>
      </c>
      <c r="B68" s="56">
        <f>IFERROR(__xludf.DUMMYFUNCTION("""COMPUTED_VALUE"""),44266.0)</f>
        <v>44266</v>
      </c>
      <c r="C68" s="46"/>
      <c r="D68" s="46" t="str">
        <f>IFERROR(__xludf.DUMMYFUNCTION("""COMPUTED_VALUE"""),"Duclb")</f>
        <v>Duclb</v>
      </c>
      <c r="E68" s="57" t="str">
        <f>IFERROR(__xludf.DUMMYFUNCTION("""COMPUTED_VALUE"""),"5300381801")</f>
        <v>5300381801</v>
      </c>
      <c r="F68" s="46" t="str">
        <f>IFERROR(__xludf.DUMMYFUNCTION("""COMPUTED_VALUE"""),"Thị trấn Vĩnh Trụ, huyện Lý Nhân, Hà Nam")</f>
        <v>Thị trấn Vĩnh Trụ, huyện Lý Nhân, Hà Nam</v>
      </c>
      <c r="G68" s="46" t="str">
        <f>IFERROR(__xludf.DUMMYFUNCTION("""COMPUTED_VALUE"""),"Tiền loại nhiều")</f>
        <v>Tiền loại nhiều</v>
      </c>
      <c r="H68" s="46"/>
      <c r="I68" s="46"/>
      <c r="J68" s="46" t="str">
        <f>IFERROR(__xludf.DUMMYFUNCTION("""COMPUTED_VALUE"""),"Đổi gap B 3 tầng 500k, 200K, 100K")</f>
        <v>Đổi gap B 3 tầng 500k, 200K, 100K</v>
      </c>
      <c r="K68" s="46" t="str">
        <f>IFERROR(__xludf.DUMMYFUNCTION("""COMPUTED_VALUE"""),"02 dây cuaroa")</f>
        <v>02 dây cuaroa</v>
      </c>
      <c r="L68" s="46" t="str">
        <f>IFERROR(__xludf.DUMMYFUNCTION("""COMPUTED_VALUE"""),"01 trục pick")</f>
        <v>01 trục pick</v>
      </c>
      <c r="M68" s="46"/>
      <c r="N68" s="46"/>
      <c r="O68" s="46"/>
      <c r="P68" s="46"/>
      <c r="Q68" s="46" t="str">
        <f>IFERROR(__xludf.DUMMYFUNCTION("""COMPUTED_VALUE"""),"Hoàn thành")</f>
        <v>Hoàn thành</v>
      </c>
      <c r="R68" s="46"/>
      <c r="S68" s="46"/>
      <c r="T68" s="46"/>
      <c r="U68" s="46"/>
      <c r="V68" s="46"/>
      <c r="W68" s="46"/>
      <c r="X68" s="46"/>
      <c r="Y68" s="46"/>
      <c r="Z68" s="46"/>
      <c r="AA68" s="46"/>
    </row>
    <row r="69">
      <c r="A69" s="55">
        <f>IFERROR(__xludf.DUMMYFUNCTION("""COMPUTED_VALUE"""),44266.94996100695)</f>
        <v>44266.94996</v>
      </c>
      <c r="B69" s="56">
        <f>IFERROR(__xludf.DUMMYFUNCTION("""COMPUTED_VALUE"""),44266.0)</f>
        <v>44266</v>
      </c>
      <c r="C69" s="59" t="str">
        <f t="shared" ref="C69:C969" si="3">if(A69-B69&gt;2,"Báo cáo muộn","")</f>
        <v/>
      </c>
      <c r="D69" s="46" t="str">
        <f>IFERROR(__xludf.DUMMYFUNCTION("""COMPUTED_VALUE"""),"Tienvm")</f>
        <v>Tienvm</v>
      </c>
      <c r="E69" s="57" t="str">
        <f>IFERROR(__xludf.DUMMYFUNCTION("""COMPUTED_VALUE"""),"5310107064")</f>
        <v>5310107064</v>
      </c>
      <c r="F69" s="46" t="str">
        <f>IFERROR(__xludf.DUMMYFUNCTION("""COMPUTED_VALUE"""),"Số 28 đường Minh Khai, phường Đông Ngàn, thị xã Từ Sơn, Bắc Ninh")</f>
        <v>Số 28 đường Minh Khai, phường Đông Ngàn, thị xã Từ Sơn, Bắc Ninh</v>
      </c>
      <c r="G69" s="46" t="str">
        <f>IFERROR(__xludf.DUMMYFUNCTION("""COMPUTED_VALUE"""),"Di chuyển máy")</f>
        <v>Di chuyển máy</v>
      </c>
      <c r="H69" s="46"/>
      <c r="I69" s="46"/>
      <c r="J69" s="46" t="str">
        <f>IFERROR(__xludf.DUMMYFUNCTION("""COMPUTED_VALUE"""),"Di chuyển mát về phía trước để mở được cửa và kéo được CMD ra để services. ")</f>
        <v>Di chuyển mát về phía trước để mở được cửa và kéo được CMD ra để services. </v>
      </c>
      <c r="K69" s="46"/>
      <c r="L69" s="46"/>
      <c r="M69" s="46"/>
      <c r="N69" s="46"/>
      <c r="O69" s="46"/>
      <c r="P69" s="46"/>
      <c r="Q69" s="46" t="str">
        <f>IFERROR(__xludf.DUMMYFUNCTION("""COMPUTED_VALUE"""),"Hoàn thành")</f>
        <v>Hoàn thành</v>
      </c>
      <c r="R69" s="46"/>
      <c r="S69" s="46"/>
      <c r="T69" s="46"/>
      <c r="U69" s="46"/>
      <c r="V69" s="46"/>
      <c r="W69" s="46"/>
      <c r="X69" s="46"/>
      <c r="Y69" s="46"/>
      <c r="Z69" s="46"/>
      <c r="AA69" s="46"/>
    </row>
    <row r="70">
      <c r="A70" s="55">
        <f>IFERROR(__xludf.DUMMYFUNCTION("""COMPUTED_VALUE"""),44266.951853680555)</f>
        <v>44266.95185</v>
      </c>
      <c r="B70" s="56">
        <f>IFERROR(__xludf.DUMMYFUNCTION("""COMPUTED_VALUE"""),44266.0)</f>
        <v>44266</v>
      </c>
      <c r="C70" s="59" t="str">
        <f t="shared" si="3"/>
        <v/>
      </c>
      <c r="D70" s="46" t="str">
        <f>IFERROR(__xludf.DUMMYFUNCTION("""COMPUTED_VALUE"""),"Tienvm")</f>
        <v>Tienvm</v>
      </c>
      <c r="E70" s="57" t="str">
        <f>IFERROR(__xludf.DUMMYFUNCTION("""COMPUTED_VALUE"""),"5300380884")</f>
        <v>5300380884</v>
      </c>
      <c r="F70" s="46" t="str">
        <f>IFERROR(__xludf.DUMMYFUNCTION("""COMPUTED_VALUE"""),"NHNo Tiên Sơn, Bắc Ninh")</f>
        <v>NHNo Tiên Sơn, Bắc Ninh</v>
      </c>
      <c r="G70" s="46" t="str">
        <f>IFERROR(__xludf.DUMMYFUNCTION("""COMPUTED_VALUE"""),"Lỗi máy in hoá đơn")</f>
        <v>Lỗi máy in hoá đơn</v>
      </c>
      <c r="H70" s="46"/>
      <c r="I70" s="46"/>
      <c r="J70" s="46" t="str">
        <f>IFERROR(__xludf.DUMMYFUNCTION("""COMPUTED_VALUE"""),"Sensor blackmark lắp đúng chiều nhưng lại lắp về bên phía điểm đen ngắn nên chưa tới để nhận được điểm đen. Lắp sensor blckmark sang vị trí điểm đen dài hơn.")</f>
        <v>Sensor blackmark lắp đúng chiều nhưng lại lắp về bên phía điểm đen ngắn nên chưa tới để nhận được điểm đen. Lắp sensor blckmark sang vị trí điểm đen dài hơn.</v>
      </c>
      <c r="K70" s="46"/>
      <c r="L70" s="46"/>
      <c r="M70" s="46"/>
      <c r="N70" s="46"/>
      <c r="O70" s="46"/>
      <c r="P70" s="46"/>
      <c r="Q70" s="46" t="str">
        <f>IFERROR(__xludf.DUMMYFUNCTION("""COMPUTED_VALUE"""),"Hoàn thành")</f>
        <v>Hoàn thành</v>
      </c>
      <c r="R70" s="46"/>
      <c r="S70" s="46"/>
      <c r="T70" s="46"/>
      <c r="U70" s="46"/>
      <c r="V70" s="46"/>
      <c r="W70" s="46"/>
      <c r="X70" s="46"/>
      <c r="Y70" s="46"/>
      <c r="Z70" s="46"/>
      <c r="AA70" s="46"/>
    </row>
    <row r="71">
      <c r="A71" s="55">
        <f>IFERROR(__xludf.DUMMYFUNCTION("""COMPUTED_VALUE"""),44266.9528909838)</f>
        <v>44266.95289</v>
      </c>
      <c r="B71" s="56">
        <f>IFERROR(__xludf.DUMMYFUNCTION("""COMPUTED_VALUE"""),44266.0)</f>
        <v>44266</v>
      </c>
      <c r="C71" s="59" t="str">
        <f t="shared" si="3"/>
        <v/>
      </c>
      <c r="D71" s="46" t="str">
        <f>IFERROR(__xludf.DUMMYFUNCTION("""COMPUTED_VALUE"""),"Tienvm")</f>
        <v>Tienvm</v>
      </c>
      <c r="E71" s="57" t="str">
        <f>IFERROR(__xludf.DUMMYFUNCTION("""COMPUTED_VALUE"""),"5310107206")</f>
        <v>5310107206</v>
      </c>
      <c r="F71" s="46" t="str">
        <f>IFERROR(__xludf.DUMMYFUNCTION("""COMPUTED_VALUE"""),"Số 18 đường Nguyễn Văn Linh, Xuân Hòa, TX. Phúc Yên, Vĩnh Phúc")</f>
        <v>Số 18 đường Nguyễn Văn Linh, Xuân Hòa, TX. Phúc Yên, Vĩnh Phúc</v>
      </c>
      <c r="G71" s="46" t="str">
        <f>IFERROR(__xludf.DUMMYFUNCTION("""COMPUTED_VALUE"""),"Không đưa chìa vào để mở được cửa trên.")</f>
        <v>Không đưa chìa vào để mở được cửa trên.</v>
      </c>
      <c r="H71" s="46"/>
      <c r="I71" s="46"/>
      <c r="J71" s="46" t="str">
        <f>IFERROR(__xludf.DUMMYFUNCTION("""COMPUTED_VALUE"""),"Di chuyển máy ra phía trước.")</f>
        <v>Di chuyển máy ra phía trước.</v>
      </c>
      <c r="K71" s="46"/>
      <c r="L71" s="46"/>
      <c r="M71" s="46"/>
      <c r="N71" s="46"/>
      <c r="O71" s="46"/>
      <c r="P71" s="46"/>
      <c r="Q71" s="46" t="str">
        <f>IFERROR(__xludf.DUMMYFUNCTION("""COMPUTED_VALUE"""),"Hoàn thành")</f>
        <v>Hoàn thành</v>
      </c>
      <c r="R71" s="46"/>
      <c r="S71" s="46"/>
      <c r="T71" s="46"/>
      <c r="U71" s="46"/>
      <c r="V71" s="46"/>
      <c r="W71" s="46"/>
      <c r="X71" s="46"/>
      <c r="Y71" s="46"/>
      <c r="Z71" s="46"/>
      <c r="AA71" s="46"/>
    </row>
    <row r="72">
      <c r="A72" s="55">
        <f>IFERROR(__xludf.DUMMYFUNCTION("""COMPUTED_VALUE"""),44267.36463275463)</f>
        <v>44267.36463</v>
      </c>
      <c r="B72" s="56">
        <f>IFERROR(__xludf.DUMMYFUNCTION("""COMPUTED_VALUE"""),44266.0)</f>
        <v>44266</v>
      </c>
      <c r="C72" s="59" t="str">
        <f t="shared" si="3"/>
        <v/>
      </c>
      <c r="D72" s="46" t="str">
        <f>IFERROR(__xludf.DUMMYFUNCTION("""COMPUTED_VALUE"""),"tunt")</f>
        <v>tunt</v>
      </c>
      <c r="E72" s="57" t="str">
        <f>IFERROR(__xludf.DUMMYFUNCTION("""COMPUTED_VALUE"""),"5310182357")</f>
        <v>5310182357</v>
      </c>
      <c r="F72" s="60" t="str">
        <f>IFERROR(__xludf.DUMMYFUNCTION("""COMPUTED_VALUE"""),"Số 1, đường Lương Ngọc Quyến, tổ 3, Phường Hoàng Văn Thụ, TPTN")</f>
        <v>Số 1, đường Lương Ngọc Quyến, tổ 3, Phường Hoàng Văn Thụ, TPTN</v>
      </c>
      <c r="G72" s="46" t="str">
        <f>IFERROR(__xludf.DUMMYFUNCTION("""COMPUTED_VALUE"""),"hay kẹt tiền tại tấm nhựa trong")</f>
        <v>hay kẹt tiền tại tấm nhựa trong</v>
      </c>
      <c r="H72" s="46"/>
      <c r="I72" s="46" t="str">
        <f>IFERROR(__xludf.DUMMYFUNCTION("""COMPUTED_VALUE"""),"Bảo trì")</f>
        <v>Bảo trì</v>
      </c>
      <c r="J72" s="46" t="str">
        <f>IFERROR(__xludf.DUMMYFUNCTION("""COMPUTED_VALUE"""),"lắp lại dây cuaroa Ex2, bảo trì")</f>
        <v>lắp lại dây cuaroa Ex2, bảo trì</v>
      </c>
      <c r="K72" s="46"/>
      <c r="L72" s="46"/>
      <c r="M72" s="46"/>
      <c r="N72" s="46"/>
      <c r="O72" s="46"/>
      <c r="P72" s="46"/>
      <c r="Q72" s="46" t="str">
        <f>IFERROR(__xludf.DUMMYFUNCTION("""COMPUTED_VALUE"""),"Hoàn thành")</f>
        <v>Hoàn thành</v>
      </c>
      <c r="R72" s="46"/>
      <c r="S72" s="46"/>
      <c r="T72" s="46"/>
      <c r="U72" s="46"/>
      <c r="V72" s="46"/>
      <c r="W72" s="46"/>
      <c r="X72" s="46"/>
      <c r="Y72" s="46"/>
      <c r="Z72" s="46"/>
      <c r="AA72" s="46"/>
    </row>
    <row r="73">
      <c r="A73" s="55">
        <f>IFERROR(__xludf.DUMMYFUNCTION("""COMPUTED_VALUE"""),44267.447977592594)</f>
        <v>44267.44798</v>
      </c>
      <c r="B73" s="56">
        <f>IFERROR(__xludf.DUMMYFUNCTION("""COMPUTED_VALUE"""),44267.0)</f>
        <v>44267</v>
      </c>
      <c r="C73" s="59" t="str">
        <f t="shared" si="3"/>
        <v/>
      </c>
      <c r="D73" s="46" t="str">
        <f>IFERROR(__xludf.DUMMYFUNCTION("""COMPUTED_VALUE"""),"Duclb")</f>
        <v>Duclb</v>
      </c>
      <c r="E73" s="57" t="str">
        <f>IFERROR(__xludf.DUMMYFUNCTION("""COMPUTED_VALUE"""),"56hgl03522")</f>
        <v>56hgl03522</v>
      </c>
      <c r="F73" s="46" t="str">
        <f>IFERROR(__xludf.DUMMYFUNCTION("""COMPUTED_VALUE"""),"Khu công nghiệp Bảo Minh, Bắc Lương, Cát Thành, Nam Định")</f>
        <v>Khu công nghiệp Bảo Minh, Bắc Lương, Cát Thành, Nam Định</v>
      </c>
      <c r="G73" s="46" t="str">
        <f>IFERROR(__xludf.DUMMYFUNCTION("""COMPUTED_VALUE"""),"Tiền loại nhiều")</f>
        <v>Tiền loại nhiều</v>
      </c>
      <c r="H73" s="46"/>
      <c r="I73" s="46"/>
      <c r="J73" s="46"/>
      <c r="K73" s="46" t="str">
        <f>IFERROR(__xludf.DUMMYFUNCTION("""COMPUTED_VALUE"""),"01 trục gap 50k")</f>
        <v>01 trục gap 50k</v>
      </c>
      <c r="L73" s="46"/>
      <c r="M73" s="46"/>
      <c r="N73" s="46"/>
      <c r="O73" s="46"/>
      <c r="P73" s="46"/>
      <c r="Q73" s="46" t="str">
        <f>IFERROR(__xludf.DUMMYFUNCTION("""COMPUTED_VALUE"""),"Hoàn thành")</f>
        <v>Hoàn thành</v>
      </c>
      <c r="R73" s="46"/>
      <c r="S73" s="46"/>
      <c r="T73" s="46"/>
      <c r="U73" s="46"/>
      <c r="V73" s="46"/>
      <c r="W73" s="46"/>
      <c r="X73" s="46"/>
      <c r="Y73" s="46"/>
      <c r="Z73" s="46"/>
      <c r="AA73" s="46"/>
    </row>
    <row r="74">
      <c r="A74" s="55">
        <f>IFERROR(__xludf.DUMMYFUNCTION("""COMPUTED_VALUE"""),44267.686261215276)</f>
        <v>44267.68626</v>
      </c>
      <c r="B74" s="56">
        <f>IFERROR(__xludf.DUMMYFUNCTION("""COMPUTED_VALUE"""),44267.0)</f>
        <v>44267</v>
      </c>
      <c r="C74" s="59" t="str">
        <f t="shared" si="3"/>
        <v/>
      </c>
      <c r="D74" s="46" t="str">
        <f>IFERROR(__xludf.DUMMYFUNCTION("""COMPUTED_VALUE"""),"thangnx")</f>
        <v>thangnx</v>
      </c>
      <c r="E74" s="57" t="str">
        <f>IFERROR(__xludf.DUMMYFUNCTION("""COMPUTED_VALUE"""),"5300380006")</f>
        <v>5300380006</v>
      </c>
      <c r="F74" s="46" t="str">
        <f>IFERROR(__xludf.DUMMYFUNCTION("""COMPUTED_VALUE"""),"NHNo Tứ Kỳ - Đường 391 H. Tứ Kỳ - T. Hải Dương")</f>
        <v>NHNo Tứ Kỳ - Đường 391 H. Tứ Kỳ - T. Hải Dương</v>
      </c>
      <c r="G74" s="46" t="str">
        <f>IFERROR(__xludf.DUMMYFUNCTION("""COMPUTED_VALUE"""),"Bảo trì")</f>
        <v>Bảo trì</v>
      </c>
      <c r="H74" s="46"/>
      <c r="I74" s="46"/>
      <c r="J74" s="46" t="str">
        <f>IFERROR(__xludf.DUMMYFUNCTION("""COMPUTED_VALUE"""),"Vệ sinh, lau chùi")</f>
        <v>Vệ sinh, lau chùi</v>
      </c>
      <c r="K74" s="46"/>
      <c r="L74" s="46"/>
      <c r="M74" s="46"/>
      <c r="N74" s="46"/>
      <c r="O74" s="46"/>
      <c r="P74" s="46"/>
      <c r="Q74" s="46" t="str">
        <f>IFERROR(__xludf.DUMMYFUNCTION("""COMPUTED_VALUE"""),"Hoàn thành")</f>
        <v>Hoàn thành</v>
      </c>
      <c r="R74" s="46"/>
      <c r="S74" s="46"/>
      <c r="T74" s="46"/>
      <c r="U74" s="46"/>
      <c r="V74" s="46"/>
      <c r="W74" s="46"/>
      <c r="X74" s="46"/>
      <c r="Y74" s="46"/>
      <c r="Z74" s="46"/>
      <c r="AA74" s="46"/>
    </row>
    <row r="75">
      <c r="A75" s="55">
        <f>IFERROR(__xludf.DUMMYFUNCTION("""COMPUTED_VALUE"""),44267.70658378472)</f>
        <v>44267.70658</v>
      </c>
      <c r="B75" s="56">
        <f>IFERROR(__xludf.DUMMYFUNCTION("""COMPUTED_VALUE"""),44267.0)</f>
        <v>44267</v>
      </c>
      <c r="C75" s="59" t="str">
        <f t="shared" si="3"/>
        <v/>
      </c>
      <c r="D75" s="46" t="str">
        <f>IFERROR(__xludf.DUMMYFUNCTION("""COMPUTED_VALUE"""),"Tunt")</f>
        <v>Tunt</v>
      </c>
      <c r="E75" s="57" t="str">
        <f>IFERROR(__xludf.DUMMYFUNCTION("""COMPUTED_VALUE"""),"5300380412")</f>
        <v>5300380412</v>
      </c>
      <c r="F75" s="46" t="str">
        <f>IFERROR(__xludf.DUMMYFUNCTION("""COMPUTED_VALUE"""),"Phố Lê Bình - TT Thanh Miện, H. Thanh Miện - T. Hải Dương")</f>
        <v>Phố Lê Bình - TT Thanh Miện, H. Thanh Miện - T. Hải Dương</v>
      </c>
      <c r="G75" s="46" t="str">
        <f>IFERROR(__xludf.DUMMYFUNCTION("""COMPUTED_VALUE"""),"Hay kẹt tiền, bảo trì")</f>
        <v>Hay kẹt tiền, bảo trì</v>
      </c>
      <c r="H75" s="46"/>
      <c r="I75" s="46" t="str">
        <f>IFERROR(__xludf.DUMMYFUNCTION("""COMPUTED_VALUE"""),"Bảo trì")</f>
        <v>Bảo trì</v>
      </c>
      <c r="J75" s="46" t="str">
        <f>IFERROR(__xludf.DUMMYFUNCTION("""COMPUTED_VALUE"""),"Bảo trì")</f>
        <v>Bảo trì</v>
      </c>
      <c r="K75" s="46"/>
      <c r="L75" s="46"/>
      <c r="M75" s="46"/>
      <c r="N75" s="46"/>
      <c r="O75" s="46"/>
      <c r="P75" s="46"/>
      <c r="Q75" s="46" t="str">
        <f>IFERROR(__xludf.DUMMYFUNCTION("""COMPUTED_VALUE"""),"Hoàn thành")</f>
        <v>Hoàn thành</v>
      </c>
      <c r="R75" s="46"/>
      <c r="S75" s="46"/>
      <c r="T75" s="46"/>
      <c r="U75" s="46"/>
      <c r="V75" s="46"/>
      <c r="W75" s="46"/>
      <c r="X75" s="46"/>
      <c r="Y75" s="46"/>
      <c r="Z75" s="46"/>
      <c r="AA75" s="46"/>
    </row>
    <row r="76">
      <c r="A76" s="55">
        <f>IFERROR(__xludf.DUMMYFUNCTION("""COMPUTED_VALUE"""),44270.305126458334)</f>
        <v>44270.30513</v>
      </c>
      <c r="B76" s="56">
        <f>IFERROR(__xludf.DUMMYFUNCTION("""COMPUTED_VALUE"""),44249.0)</f>
        <v>44249</v>
      </c>
      <c r="C76" s="59" t="str">
        <f t="shared" si="3"/>
        <v>Báo cáo muộn</v>
      </c>
      <c r="D76" s="46" t="str">
        <f>IFERROR(__xludf.DUMMYFUNCTION("""COMPUTED_VALUE"""),"Bannt")</f>
        <v>Bannt</v>
      </c>
      <c r="E76" s="57" t="str">
        <f>IFERROR(__xludf.DUMMYFUNCTION("""COMPUTED_VALUE"""),"5300381645")</f>
        <v>5300381645</v>
      </c>
      <c r="F76" s="46" t="str">
        <f>IFERROR(__xludf.DUMMYFUNCTION("""COMPUTED_VALUE"""),"Tổ 9 P. Nguyễn Thị Minh Khai , TP Bắc Cạn, Bắc Cạn")</f>
        <v>Tổ 9 P. Nguyễn Thị Minh Khai , TP Bắc Cạn, Bắc Cạn</v>
      </c>
      <c r="G76" s="46" t="str">
        <f>IFERROR(__xludf.DUMMYFUNCTION("""COMPUTED_VALUE"""),"Lỗi không trả được tiền khay 100, rác nhiều")</f>
        <v>Lỗi không trả được tiền khay 100, rác nhiều</v>
      </c>
      <c r="H76" s="46"/>
      <c r="I76" s="46" t="str">
        <f>IFERROR(__xludf.DUMMYFUNCTION("""COMPUTED_VALUE"""),"Bảo trì")</f>
        <v>Bảo trì</v>
      </c>
      <c r="J76" s="46" t="str">
        <f>IFERROR(__xludf.DUMMYFUNCTION("""COMPUTED_VALUE"""),"Bảo trì bptt và 2 bộ khay tiền")</f>
        <v>Bảo trì bptt và 2 bộ khay tiền</v>
      </c>
      <c r="K76" s="46"/>
      <c r="L76" s="46"/>
      <c r="M76" s="46"/>
      <c r="N76" s="46"/>
      <c r="O76" s="46"/>
      <c r="P76" s="46"/>
      <c r="Q76" s="46" t="str">
        <f>IFERROR(__xludf.DUMMYFUNCTION("""COMPUTED_VALUE"""),"Hoàn thành")</f>
        <v>Hoàn thành</v>
      </c>
      <c r="R76" s="46"/>
      <c r="S76" s="46"/>
      <c r="T76" s="46"/>
      <c r="U76" s="46"/>
      <c r="V76" s="46"/>
      <c r="W76" s="46"/>
      <c r="X76" s="46"/>
      <c r="Y76" s="46"/>
      <c r="Z76" s="46"/>
      <c r="AA76" s="46"/>
    </row>
    <row r="77">
      <c r="A77" s="55">
        <f>IFERROR(__xludf.DUMMYFUNCTION("""COMPUTED_VALUE"""),44270.30644509259)</f>
        <v>44270.30645</v>
      </c>
      <c r="B77" s="56">
        <f>IFERROR(__xludf.DUMMYFUNCTION("""COMPUTED_VALUE"""),44250.0)</f>
        <v>44250</v>
      </c>
      <c r="C77" s="59" t="str">
        <f t="shared" si="3"/>
        <v>Báo cáo muộn</v>
      </c>
      <c r="D77" s="46" t="str">
        <f>IFERROR(__xludf.DUMMYFUNCTION("""COMPUTED_VALUE"""),"Bannt")</f>
        <v>Bannt</v>
      </c>
      <c r="E77" s="57" t="str">
        <f>IFERROR(__xludf.DUMMYFUNCTION("""COMPUTED_VALUE"""),"5310105311")</f>
        <v>5310105311</v>
      </c>
      <c r="F77" s="46" t="str">
        <f>IFERROR(__xludf.DUMMYFUNCTION("""COMPUTED_VALUE"""),"Thôn Hồng Thượng, xã Nam Hồng, huyện Nam Trực")</f>
        <v>Thôn Hồng Thượng, xã Nam Hồng, huyện Nam Trực</v>
      </c>
      <c r="G77" s="46" t="str">
        <f>IFERROR(__xludf.DUMMYFUNCTION("""COMPUTED_VALUE"""),"Rác nhiều không trả tiền khay 200")</f>
        <v>Rác nhiều không trả tiền khay 200</v>
      </c>
      <c r="H77" s="46"/>
      <c r="I77" s="46" t="str">
        <f>IFERROR(__xludf.DUMMYFUNCTION("""COMPUTED_VALUE"""),"Bảo trì")</f>
        <v>Bảo trì</v>
      </c>
      <c r="J77" s="46" t="str">
        <f>IFERROR(__xludf.DUMMYFUNCTION("""COMPUTED_VALUE"""),"Bảo trì bptt và 2 bộ khay tiền")</f>
        <v>Bảo trì bptt và 2 bộ khay tiền</v>
      </c>
      <c r="K77" s="46"/>
      <c r="L77" s="46"/>
      <c r="M77" s="46"/>
      <c r="N77" s="46"/>
      <c r="O77" s="46"/>
      <c r="P77" s="46"/>
      <c r="Q77" s="46" t="str">
        <f>IFERROR(__xludf.DUMMYFUNCTION("""COMPUTED_VALUE"""),"Hoàn thành")</f>
        <v>Hoàn thành</v>
      </c>
      <c r="R77" s="46"/>
      <c r="S77" s="46"/>
      <c r="T77" s="46"/>
      <c r="U77" s="46"/>
      <c r="V77" s="46"/>
      <c r="W77" s="46"/>
      <c r="X77" s="46"/>
      <c r="Y77" s="46"/>
      <c r="Z77" s="46"/>
      <c r="AA77" s="46"/>
    </row>
    <row r="78">
      <c r="A78" s="55">
        <f>IFERROR(__xludf.DUMMYFUNCTION("""COMPUTED_VALUE"""),44270.30887501157)</f>
        <v>44270.30888</v>
      </c>
      <c r="B78" s="56">
        <f>IFERROR(__xludf.DUMMYFUNCTION("""COMPUTED_VALUE"""),44256.0)</f>
        <v>44256</v>
      </c>
      <c r="C78" s="59" t="str">
        <f t="shared" si="3"/>
        <v>Báo cáo muộn</v>
      </c>
      <c r="D78" s="46" t="str">
        <f>IFERROR(__xludf.DUMMYFUNCTION("""COMPUTED_VALUE"""),"Bannt")</f>
        <v>Bannt</v>
      </c>
      <c r="E78" s="57" t="str">
        <f>IFERROR(__xludf.DUMMYFUNCTION("""COMPUTED_VALUE"""),"5310183305")</f>
        <v>5310183305</v>
      </c>
      <c r="F78" s="46" t="str">
        <f>IFERROR(__xludf.DUMMYFUNCTION("""COMPUTED_VALUE"""),"TT Chờ, Yên Phong, Bắc Ninh")</f>
        <v>TT Chờ, Yên Phong, Bắc Ninh</v>
      </c>
      <c r="G78" s="46" t="str">
        <f>IFERROR(__xludf.DUMMYFUNCTION("""COMPUTED_VALUE"""),"Lỗi đầu đọc thẻ, bảo trì định kỳ")</f>
        <v>Lỗi đầu đọc thẻ, bảo trì định kỳ</v>
      </c>
      <c r="H78" s="46"/>
      <c r="I78" s="46" t="str">
        <f>IFERROR(__xludf.DUMMYFUNCTION("""COMPUTED_VALUE"""),"Bảo trì")</f>
        <v>Bảo trì</v>
      </c>
      <c r="J78" s="46" t="str">
        <f>IFERROR(__xludf.DUMMYFUNCTION("""COMPUTED_VALUE"""),"Bảo trì định kỳ atm ")</f>
        <v>Bảo trì định kỳ atm </v>
      </c>
      <c r="K78" s="46"/>
      <c r="L78" s="46"/>
      <c r="M78" s="46"/>
      <c r="N78" s="46"/>
      <c r="O78" s="46"/>
      <c r="P78" s="46"/>
      <c r="Q78" s="46" t="str">
        <f>IFERROR(__xludf.DUMMYFUNCTION("""COMPUTED_VALUE"""),"Hoàn thành")</f>
        <v>Hoàn thành</v>
      </c>
      <c r="R78" s="46"/>
      <c r="S78" s="46"/>
      <c r="T78" s="46"/>
      <c r="U78" s="46"/>
      <c r="V78" s="46"/>
      <c r="W78" s="46"/>
      <c r="X78" s="46"/>
      <c r="Y78" s="46"/>
      <c r="Z78" s="46"/>
      <c r="AA78" s="46"/>
    </row>
    <row r="79">
      <c r="A79" s="55">
        <f>IFERROR(__xludf.DUMMYFUNCTION("""COMPUTED_VALUE"""),44270.30951604167)</f>
        <v>44270.30952</v>
      </c>
      <c r="B79" s="56">
        <f>IFERROR(__xludf.DUMMYFUNCTION("""COMPUTED_VALUE"""),44257.0)</f>
        <v>44257</v>
      </c>
      <c r="C79" s="59" t="str">
        <f t="shared" si="3"/>
        <v>Báo cáo muộn</v>
      </c>
      <c r="D79" s="46" t="str">
        <f>IFERROR(__xludf.DUMMYFUNCTION("""COMPUTED_VALUE"""),"Bannt")</f>
        <v>Bannt</v>
      </c>
      <c r="E79" s="57" t="str">
        <f>IFERROR(__xludf.DUMMYFUNCTION("""COMPUTED_VALUE"""),"5300378631")</f>
        <v>5300378631</v>
      </c>
      <c r="F79" s="46" t="str">
        <f>IFERROR(__xludf.DUMMYFUNCTION("""COMPUTED_VALUE"""),"Thị trấn Việt Quang, huyện Bắc Quang, Hà Giang")</f>
        <v>Thị trấn Việt Quang, huyện Bắc Quang, Hà Giang</v>
      </c>
      <c r="G79" s="46" t="str">
        <f>IFERROR(__xludf.DUMMYFUNCTION("""COMPUTED_VALUE"""),"Bảo trì định kỳ")</f>
        <v>Bảo trì định kỳ</v>
      </c>
      <c r="H79" s="46"/>
      <c r="I79" s="46" t="str">
        <f>IFERROR(__xludf.DUMMYFUNCTION("""COMPUTED_VALUE"""),"Bảo trì")</f>
        <v>Bảo trì</v>
      </c>
      <c r="J79" s="46" t="str">
        <f>IFERROR(__xludf.DUMMYFUNCTION("""COMPUTED_VALUE"""),"Bảo trì định kỳ")</f>
        <v>Bảo trì định kỳ</v>
      </c>
      <c r="K79" s="46"/>
      <c r="L79" s="46"/>
      <c r="M79" s="46"/>
      <c r="N79" s="46"/>
      <c r="O79" s="46"/>
      <c r="P79" s="46"/>
      <c r="Q79" s="46" t="str">
        <f>IFERROR(__xludf.DUMMYFUNCTION("""COMPUTED_VALUE"""),"Hoàn thành")</f>
        <v>Hoàn thành</v>
      </c>
      <c r="R79" s="46"/>
      <c r="S79" s="46"/>
      <c r="T79" s="46"/>
      <c r="U79" s="46"/>
      <c r="V79" s="46"/>
      <c r="W79" s="46"/>
      <c r="X79" s="46"/>
      <c r="Y79" s="46"/>
      <c r="Z79" s="46"/>
      <c r="AA79" s="46"/>
    </row>
    <row r="80">
      <c r="A80" s="55">
        <f>IFERROR(__xludf.DUMMYFUNCTION("""COMPUTED_VALUE"""),44270.310729861114)</f>
        <v>44270.31073</v>
      </c>
      <c r="B80" s="56">
        <f>IFERROR(__xludf.DUMMYFUNCTION("""COMPUTED_VALUE"""),44257.0)</f>
        <v>44257</v>
      </c>
      <c r="C80" s="59" t="str">
        <f t="shared" si="3"/>
        <v>Báo cáo muộn</v>
      </c>
      <c r="D80" s="46" t="str">
        <f>IFERROR(__xludf.DUMMYFUNCTION("""COMPUTED_VALUE"""),"Bannt")</f>
        <v>Bannt</v>
      </c>
      <c r="E80" s="57" t="str">
        <f>IFERROR(__xludf.DUMMYFUNCTION("""COMPUTED_VALUE"""),"5300380289")</f>
        <v>5300380289</v>
      </c>
      <c r="F80" s="46" t="str">
        <f>IFERROR(__xludf.DUMMYFUNCTION("""COMPUTED_VALUE"""),"Thị trấn Việt Quang, huyện Bắc Quang, Hà Giang")</f>
        <v>Thị trấn Việt Quang, huyện Bắc Quang, Hà Giang</v>
      </c>
      <c r="G80" s="46" t="str">
        <f>IFERROR(__xludf.DUMMYFUNCTION("""COMPUTED_VALUE"""),"Lỗi tuột DDU do kẹt tiền")</f>
        <v>Lỗi tuột DDU do kẹt tiền</v>
      </c>
      <c r="H80" s="46"/>
      <c r="I80" s="46" t="str">
        <f>IFERROR(__xludf.DUMMYFUNCTION("""COMPUTED_VALUE"""),"Bảo trì")</f>
        <v>Bảo trì</v>
      </c>
      <c r="J80" s="46" t="str">
        <f>IFERROR(__xludf.DUMMYFUNCTION("""COMPUTED_VALUE"""),"Lắp lại ddu và vệ sinh BPTT")</f>
        <v>Lắp lại ddu và vệ sinh BPTT</v>
      </c>
      <c r="K80" s="46"/>
      <c r="L80" s="46"/>
      <c r="M80" s="46"/>
      <c r="N80" s="46"/>
      <c r="O80" s="46"/>
      <c r="P80" s="46"/>
      <c r="Q80" s="46" t="str">
        <f>IFERROR(__xludf.DUMMYFUNCTION("""COMPUTED_VALUE"""),"Hoàn thành")</f>
        <v>Hoàn thành</v>
      </c>
      <c r="R80" s="46"/>
      <c r="S80" s="46"/>
      <c r="T80" s="46"/>
      <c r="U80" s="46"/>
      <c r="V80" s="46"/>
      <c r="W80" s="46"/>
      <c r="X80" s="46"/>
      <c r="Y80" s="46"/>
      <c r="Z80" s="46"/>
      <c r="AA80" s="46"/>
    </row>
    <row r="81">
      <c r="A81" s="55">
        <f>IFERROR(__xludf.DUMMYFUNCTION("""COMPUTED_VALUE"""),44270.31242644676)</f>
        <v>44270.31243</v>
      </c>
      <c r="B81" s="56">
        <f>IFERROR(__xludf.DUMMYFUNCTION("""COMPUTED_VALUE"""),44259.0)</f>
        <v>44259</v>
      </c>
      <c r="C81" s="59" t="str">
        <f t="shared" si="3"/>
        <v>Báo cáo muộn</v>
      </c>
      <c r="D81" s="46" t="str">
        <f>IFERROR(__xludf.DUMMYFUNCTION("""COMPUTED_VALUE"""),"Bannt")</f>
        <v>Bannt</v>
      </c>
      <c r="E81" s="57" t="str">
        <f>IFERROR(__xludf.DUMMYFUNCTION("""COMPUTED_VALUE"""),"5300380289")</f>
        <v>5300380289</v>
      </c>
      <c r="F81" s="46" t="str">
        <f>IFERROR(__xludf.DUMMYFUNCTION("""COMPUTED_VALUE"""),"Thị trấn Việt Quang, huyện Bắc Quang, Hà Giang")</f>
        <v>Thị trấn Việt Quang, huyện Bắc Quang, Hà Giang</v>
      </c>
      <c r="G81" s="46" t="str">
        <f>IFERROR(__xludf.DUMMYFUNCTION("""COMPUTED_VALUE"""),"Lỗi đầu đọc thẻ, bảo trì định kỳ atm")</f>
        <v>Lỗi đầu đọc thẻ, bảo trì định kỳ atm</v>
      </c>
      <c r="H81" s="46"/>
      <c r="I81" s="46" t="str">
        <f>IFERROR(__xludf.DUMMYFUNCTION("""COMPUTED_VALUE"""),"Bảo trì")</f>
        <v>Bảo trì</v>
      </c>
      <c r="J81" s="46" t="str">
        <f>IFERROR(__xludf.DUMMYFUNCTION("""COMPUTED_VALUE"""),"Bảo trì định kỳ atm")</f>
        <v>Bảo trì định kỳ atm</v>
      </c>
      <c r="K81" s="46" t="str">
        <f>IFERROR(__xludf.DUMMYFUNCTION("""COMPUTED_VALUE"""),"01 đầu đọc thẻ")</f>
        <v>01 đầu đọc thẻ</v>
      </c>
      <c r="L81" s="46"/>
      <c r="M81" s="46"/>
      <c r="N81" s="46"/>
      <c r="O81" s="46"/>
      <c r="P81" s="46"/>
      <c r="Q81" s="46" t="str">
        <f>IFERROR(__xludf.DUMMYFUNCTION("""COMPUTED_VALUE"""),"Hoàn thành")</f>
        <v>Hoàn thành</v>
      </c>
      <c r="R81" s="46"/>
      <c r="S81" s="46"/>
      <c r="T81" s="46"/>
      <c r="U81" s="46"/>
      <c r="V81" s="46"/>
      <c r="W81" s="46"/>
      <c r="X81" s="46"/>
      <c r="Y81" s="46"/>
      <c r="Z81" s="46"/>
      <c r="AA81" s="46"/>
    </row>
    <row r="82">
      <c r="A82" s="55">
        <f>IFERROR(__xludf.DUMMYFUNCTION("""COMPUTED_VALUE"""),44270.31328729166)</f>
        <v>44270.31329</v>
      </c>
      <c r="B82" s="56">
        <f>IFERROR(__xludf.DUMMYFUNCTION("""COMPUTED_VALUE"""),44263.0)</f>
        <v>44263</v>
      </c>
      <c r="C82" s="59" t="str">
        <f t="shared" si="3"/>
        <v>Báo cáo muộn</v>
      </c>
      <c r="D82" s="46" t="str">
        <f>IFERROR(__xludf.DUMMYFUNCTION("""COMPUTED_VALUE"""),"Bannt")</f>
        <v>Bannt</v>
      </c>
      <c r="E82" s="57" t="str">
        <f>IFERROR(__xludf.DUMMYFUNCTION("""COMPUTED_VALUE"""),"5300378321")</f>
        <v>5300378321</v>
      </c>
      <c r="F82" s="46" t="str">
        <f>IFERROR(__xludf.DUMMYFUNCTION("""COMPUTED_VALUE"""),"Thôn Đại Bái - Xã Đại Thịnh - Mê Linh - Hà Nội")</f>
        <v>Thôn Đại Bái - Xã Đại Thịnh - Mê Linh - Hà Nội</v>
      </c>
      <c r="G82" s="46" t="str">
        <f>IFERROR(__xludf.DUMMYFUNCTION("""COMPUTED_VALUE"""),"Lỗi bptt")</f>
        <v>Lỗi bptt</v>
      </c>
      <c r="H82" s="46"/>
      <c r="I82" s="46" t="str">
        <f>IFERROR(__xludf.DUMMYFUNCTION("""COMPUTED_VALUE"""),"Bảo trì")</f>
        <v>Bảo trì</v>
      </c>
      <c r="J82" s="46" t="str">
        <f>IFERROR(__xludf.DUMMYFUNCTION("""COMPUTED_VALUE"""),"Bảo trì định kỳ ATM")</f>
        <v>Bảo trì định kỳ ATM</v>
      </c>
      <c r="K82" s="46"/>
      <c r="L82" s="46"/>
      <c r="M82" s="46"/>
      <c r="N82" s="46"/>
      <c r="O82" s="46"/>
      <c r="P82" s="46"/>
      <c r="Q82" s="46" t="str">
        <f>IFERROR(__xludf.DUMMYFUNCTION("""COMPUTED_VALUE"""),"Hoàn thành")</f>
        <v>Hoàn thành</v>
      </c>
      <c r="R82" s="46"/>
      <c r="S82" s="46"/>
      <c r="T82" s="46"/>
      <c r="U82" s="46"/>
      <c r="V82" s="46"/>
      <c r="W82" s="46"/>
      <c r="X82" s="46"/>
      <c r="Y82" s="46"/>
      <c r="Z82" s="46"/>
      <c r="AA82" s="46"/>
    </row>
    <row r="83">
      <c r="A83" s="55">
        <f>IFERROR(__xludf.DUMMYFUNCTION("""COMPUTED_VALUE"""),44270.31406388889)</f>
        <v>44270.31406</v>
      </c>
      <c r="B83" s="56">
        <f>IFERROR(__xludf.DUMMYFUNCTION("""COMPUTED_VALUE"""),44264.0)</f>
        <v>44264</v>
      </c>
      <c r="C83" s="59" t="str">
        <f t="shared" si="3"/>
        <v>Báo cáo muộn</v>
      </c>
      <c r="D83" s="46" t="str">
        <f>IFERROR(__xludf.DUMMYFUNCTION("""COMPUTED_VALUE"""),"Bannt")</f>
        <v>Bannt</v>
      </c>
      <c r="E83" s="57" t="str">
        <f>IFERROR(__xludf.DUMMYFUNCTION("""COMPUTED_VALUE"""),"5310107221")</f>
        <v>5310107221</v>
      </c>
      <c r="F83" s="46" t="str">
        <f>IFERROR(__xludf.DUMMYFUNCTION("""COMPUTED_VALUE"""),"Số 279 đường Thống Nhất, TP. Thái Nguyên")</f>
        <v>Số 279 đường Thống Nhất, TP. Thái Nguyên</v>
      </c>
      <c r="G83" s="46" t="str">
        <f>IFERROR(__xludf.DUMMYFUNCTION("""COMPUTED_VALUE"""),"Lỗi bptt và bảo trì ")</f>
        <v>Lỗi bptt và bảo trì </v>
      </c>
      <c r="H83" s="46"/>
      <c r="I83" s="46" t="str">
        <f>IFERROR(__xludf.DUMMYFUNCTION("""COMPUTED_VALUE"""),"Bảo trì")</f>
        <v>Bảo trì</v>
      </c>
      <c r="J83" s="46" t="str">
        <f>IFERROR(__xludf.DUMMYFUNCTION("""COMPUTED_VALUE"""),"Bảo trì định kỳ atm")</f>
        <v>Bảo trì định kỳ atm</v>
      </c>
      <c r="K83" s="46" t="str">
        <f>IFERROR(__xludf.DUMMYFUNCTION("""COMPUTED_VALUE"""),"01 clamp")</f>
        <v>01 clamp</v>
      </c>
      <c r="L83" s="46"/>
      <c r="M83" s="46"/>
      <c r="N83" s="46"/>
      <c r="O83" s="46"/>
      <c r="P83" s="46"/>
      <c r="Q83" s="46" t="str">
        <f>IFERROR(__xludf.DUMMYFUNCTION("""COMPUTED_VALUE"""),"Hoàn thành")</f>
        <v>Hoàn thành</v>
      </c>
      <c r="R83" s="46"/>
      <c r="S83" s="46"/>
      <c r="T83" s="46"/>
      <c r="U83" s="46"/>
      <c r="V83" s="46"/>
      <c r="W83" s="46"/>
      <c r="X83" s="46"/>
      <c r="Y83" s="46"/>
      <c r="Z83" s="46"/>
      <c r="AA83" s="46"/>
    </row>
    <row r="84">
      <c r="A84" s="55">
        <f>IFERROR(__xludf.DUMMYFUNCTION("""COMPUTED_VALUE"""),44270.316310740745)</f>
        <v>44270.31631</v>
      </c>
      <c r="B84" s="56">
        <f>IFERROR(__xludf.DUMMYFUNCTION("""COMPUTED_VALUE"""),44265.0)</f>
        <v>44265</v>
      </c>
      <c r="C84" s="59" t="str">
        <f t="shared" si="3"/>
        <v>Báo cáo muộn</v>
      </c>
      <c r="D84" s="46" t="str">
        <f>IFERROR(__xludf.DUMMYFUNCTION("""COMPUTED_VALUE"""),"Bannt")</f>
        <v>Bannt</v>
      </c>
      <c r="E84" s="57" t="str">
        <f>IFERROR(__xludf.DUMMYFUNCTION("""COMPUTED_VALUE"""),"56HG805401")</f>
        <v>56HG805401</v>
      </c>
      <c r="F84" s="46" t="str">
        <f>IFERROR(__xludf.DUMMYFUNCTION("""COMPUTED_VALUE"""),"Trường Quân sự Quân Khu 1, xã Thượng Đình, huyện Phú Bình, tỉnh Thái Nguyên")</f>
        <v>Trường Quân sự Quân Khu 1, xã Thượng Đình, huyện Phú Bình, tỉnh Thái Nguyên</v>
      </c>
      <c r="G84" s="46" t="str">
        <f>IFERROR(__xludf.DUMMYFUNCTION("""COMPUTED_VALUE"""),"Lỗi không online")</f>
        <v>Lỗi không online</v>
      </c>
      <c r="H84" s="46"/>
      <c r="I84" s="46" t="str">
        <f>IFERROR(__xludf.DUMMYFUNCTION("""COMPUTED_VALUE"""),"Bảo trì")</f>
        <v>Bảo trì</v>
      </c>
      <c r="J84" s="46" t="str">
        <f>IFERROR(__xludf.DUMMYFUNCTION("""COMPUTED_VALUE"""),"Khởi động lại máy, reset đầu đọc thẻ")</f>
        <v>Khởi động lại máy, reset đầu đọc thẻ</v>
      </c>
      <c r="K84" s="46"/>
      <c r="L84" s="46"/>
      <c r="M84" s="46"/>
      <c r="N84" s="46"/>
      <c r="O84" s="46"/>
      <c r="P84" s="46"/>
      <c r="Q84" s="46" t="str">
        <f>IFERROR(__xludf.DUMMYFUNCTION("""COMPUTED_VALUE"""),"Hoàn thành")</f>
        <v>Hoàn thành</v>
      </c>
      <c r="R84" s="46"/>
      <c r="S84" s="46"/>
      <c r="T84" s="46"/>
      <c r="U84" s="46"/>
      <c r="V84" s="46"/>
      <c r="W84" s="46"/>
      <c r="X84" s="46"/>
      <c r="Y84" s="46"/>
      <c r="Z84" s="46"/>
      <c r="AA84" s="46"/>
    </row>
    <row r="85">
      <c r="A85" s="55">
        <f>IFERROR(__xludf.DUMMYFUNCTION("""COMPUTED_VALUE"""),44270.31709327546)</f>
        <v>44270.31709</v>
      </c>
      <c r="B85" s="56">
        <f>IFERROR(__xludf.DUMMYFUNCTION("""COMPUTED_VALUE"""),44265.0)</f>
        <v>44265</v>
      </c>
      <c r="C85" s="59" t="str">
        <f t="shared" si="3"/>
        <v>Báo cáo muộn</v>
      </c>
      <c r="D85" s="46" t="str">
        <f>IFERROR(__xludf.DUMMYFUNCTION("""COMPUTED_VALUE"""),"Bannt")</f>
        <v>Bannt</v>
      </c>
      <c r="E85" s="57" t="str">
        <f>IFERROR(__xludf.DUMMYFUNCTION("""COMPUTED_VALUE"""),"5300380412")</f>
        <v>5300380412</v>
      </c>
      <c r="F85" s="46" t="str">
        <f>IFERROR(__xludf.DUMMYFUNCTION("""COMPUTED_VALUE"""),"Phố Lê Bình - TT Thanh Miện, H. Thanh Miện - T. Hải Dương")</f>
        <v>Phố Lê Bình - TT Thanh Miện, H. Thanh Miện - T. Hải Dương</v>
      </c>
      <c r="G85" s="46" t="str">
        <f>IFERROR(__xludf.DUMMYFUNCTION("""COMPUTED_VALUE"""),"Lỗi presenter (1.7)")</f>
        <v>Lỗi presenter (1.7)</v>
      </c>
      <c r="H85" s="46"/>
      <c r="I85" s="46" t="str">
        <f>IFERROR(__xludf.DUMMYFUNCTION("""COMPUTED_VALUE"""),"Bảo trì")</f>
        <v>Bảo trì</v>
      </c>
      <c r="J85" s="46" t="str">
        <f>IFERROR(__xludf.DUMMYFUNCTION("""COMPUTED_VALUE"""),"Thay thế presenter")</f>
        <v>Thay thế presenter</v>
      </c>
      <c r="K85" s="46"/>
      <c r="L85" s="46"/>
      <c r="M85" s="46"/>
      <c r="N85" s="46"/>
      <c r="O85" s="46"/>
      <c r="P85" s="46"/>
      <c r="Q85" s="46" t="str">
        <f>IFERROR(__xludf.DUMMYFUNCTION("""COMPUTED_VALUE"""),"Hoàn thành")</f>
        <v>Hoàn thành</v>
      </c>
      <c r="R85" s="46"/>
      <c r="S85" s="46"/>
      <c r="T85" s="46"/>
      <c r="U85" s="46"/>
      <c r="V85" s="46"/>
      <c r="W85" s="46"/>
      <c r="X85" s="46"/>
      <c r="Y85" s="46"/>
      <c r="Z85" s="46"/>
      <c r="AA85" s="46"/>
    </row>
    <row r="86">
      <c r="A86" s="55">
        <f>IFERROR(__xludf.DUMMYFUNCTION("""COMPUTED_VALUE"""),44270.6972267824)</f>
        <v>44270.69723</v>
      </c>
      <c r="B86" s="56">
        <f>IFERROR(__xludf.DUMMYFUNCTION("""COMPUTED_VALUE"""),44270.0)</f>
        <v>44270</v>
      </c>
      <c r="C86" s="59" t="str">
        <f t="shared" si="3"/>
        <v/>
      </c>
      <c r="D86" s="46" t="str">
        <f>IFERROR(__xludf.DUMMYFUNCTION("""COMPUTED_VALUE"""),"Duclb")</f>
        <v>Duclb</v>
      </c>
      <c r="E86" s="57" t="str">
        <f>IFERROR(__xludf.DUMMYFUNCTION("""COMPUTED_VALUE"""),"5300381701")</f>
        <v>5300381701</v>
      </c>
      <c r="F86" s="46" t="str">
        <f>IFERROR(__xludf.DUMMYFUNCTION("""COMPUTED_VALUE"""),"739 Lạc Long Quân, Tây Hồ, Hà Nội")</f>
        <v>739 Lạc Long Quân, Tây Hồ, Hà Nội</v>
      </c>
      <c r="G86" s="46" t="str">
        <f>IFERROR(__xludf.DUMMYFUNCTION("""COMPUTED_VALUE"""),"Hay kẹt tiền tại miếng nhựa trong")</f>
        <v>Hay kẹt tiền tại miếng nhựa trong</v>
      </c>
      <c r="H86" s="46"/>
      <c r="I86" s="46"/>
      <c r="J86" s="46"/>
      <c r="K86" s="46" t="str">
        <f>IFERROR(__xludf.DUMMYFUNCTION("""COMPUTED_VALUE"""),"01 trục gap")</f>
        <v>01 trục gap</v>
      </c>
      <c r="L86" s="46" t="str">
        <f>IFERROR(__xludf.DUMMYFUNCTION("""COMPUTED_VALUE"""),"02 dây cuaroa")</f>
        <v>02 dây cuaroa</v>
      </c>
      <c r="M86" s="46"/>
      <c r="N86" s="46"/>
      <c r="O86" s="46"/>
      <c r="P86" s="46"/>
      <c r="Q86" s="46" t="str">
        <f>IFERROR(__xludf.DUMMYFUNCTION("""COMPUTED_VALUE"""),"Hoàn thành")</f>
        <v>Hoàn thành</v>
      </c>
      <c r="R86" s="46"/>
      <c r="S86" s="46"/>
      <c r="T86" s="46"/>
      <c r="U86" s="46"/>
      <c r="V86" s="46"/>
      <c r="W86" s="46"/>
      <c r="X86" s="46"/>
      <c r="Y86" s="46"/>
      <c r="Z86" s="46"/>
      <c r="AA86" s="46"/>
    </row>
    <row r="87">
      <c r="A87" s="55">
        <f>IFERROR(__xludf.DUMMYFUNCTION("""COMPUTED_VALUE"""),44270.69783849537)</f>
        <v>44270.69784</v>
      </c>
      <c r="B87" s="56">
        <f>IFERROR(__xludf.DUMMYFUNCTION("""COMPUTED_VALUE"""),44270.0)</f>
        <v>44270</v>
      </c>
      <c r="C87" s="59" t="str">
        <f t="shared" si="3"/>
        <v/>
      </c>
      <c r="D87" s="46" t="str">
        <f>IFERROR(__xludf.DUMMYFUNCTION("""COMPUTED_VALUE"""),"Duclb")</f>
        <v>Duclb</v>
      </c>
      <c r="E87" s="57" t="str">
        <f>IFERROR(__xludf.DUMMYFUNCTION("""COMPUTED_VALUE"""),"5310105333")</f>
        <v>5310105333</v>
      </c>
      <c r="F87" s="46" t="str">
        <f>IFERROR(__xludf.DUMMYFUNCTION("""COMPUTED_VALUE"""),"Thôn Thiết Bình, xã Vân Hà, Huyện Đông Anh")</f>
        <v>Thôn Thiết Bình, xã Vân Hà, Huyện Đông Anh</v>
      </c>
      <c r="G87" s="46" t="str">
        <f>IFERROR(__xludf.DUMMYFUNCTION("""COMPUTED_VALUE"""),"Lỗi tầng 500k")</f>
        <v>Lỗi tầng 500k</v>
      </c>
      <c r="H87" s="46"/>
      <c r="I87" s="46" t="str">
        <f>IFERROR(__xludf.DUMMYFUNCTION("""COMPUTED_VALUE"""),"Bảo trì")</f>
        <v>Bảo trì</v>
      </c>
      <c r="J87" s="46"/>
      <c r="K87" s="46" t="str">
        <f>IFERROR(__xludf.DUMMYFUNCTION("""COMPUTED_VALUE"""),"01 nhựa đen")</f>
        <v>01 nhựa đen</v>
      </c>
      <c r="L87" s="46" t="str">
        <f>IFERROR(__xludf.DUMMYFUNCTION("""COMPUTED_VALUE"""),"01 răng lược")</f>
        <v>01 răng lược</v>
      </c>
      <c r="M87" s="46" t="str">
        <f>IFERROR(__xludf.DUMMYFUNCTION("""COMPUTED_VALUE"""),"01 bo đứng")</f>
        <v>01 bo đứng</v>
      </c>
      <c r="N87" s="46"/>
      <c r="O87" s="46"/>
      <c r="P87" s="46"/>
      <c r="Q87" s="46" t="str">
        <f>IFERROR(__xludf.DUMMYFUNCTION("""COMPUTED_VALUE"""),"Hoàn thành")</f>
        <v>Hoàn thành</v>
      </c>
      <c r="R87" s="46"/>
      <c r="S87" s="46"/>
      <c r="T87" s="46"/>
      <c r="U87" s="46"/>
      <c r="V87" s="46"/>
      <c r="W87" s="46"/>
      <c r="X87" s="46"/>
      <c r="Y87" s="46"/>
      <c r="Z87" s="46"/>
      <c r="AA87" s="46"/>
    </row>
    <row r="88">
      <c r="A88" s="55">
        <f>IFERROR(__xludf.DUMMYFUNCTION("""COMPUTED_VALUE"""),44272.36887237268)</f>
        <v>44272.36887</v>
      </c>
      <c r="B88" s="56">
        <f>IFERROR(__xludf.DUMMYFUNCTION("""COMPUTED_VALUE"""),44270.0)</f>
        <v>44270</v>
      </c>
      <c r="C88" s="59" t="str">
        <f t="shared" si="3"/>
        <v>Báo cáo muộn</v>
      </c>
      <c r="D88" s="46" t="str">
        <f>IFERROR(__xludf.DUMMYFUNCTION("""COMPUTED_VALUE"""),"tienvm")</f>
        <v>tienvm</v>
      </c>
      <c r="E88" s="57" t="str">
        <f>IFERROR(__xludf.DUMMYFUNCTION("""COMPUTED_VALUE"""),"5300378191")</f>
        <v>5300378191</v>
      </c>
      <c r="F88" s="46" t="str">
        <f>IFERROR(__xludf.DUMMYFUNCTION("""COMPUTED_VALUE"""),"Tầng 1,2,3 Tòa Diamond Flower Tower - 48 Lê Văn Lương, Thanh Xuân, Hà Nội")</f>
        <v>Tầng 1,2,3 Tòa Diamond Flower Tower - 48 Lê Văn Lương, Thanh Xuân, Hà Nội</v>
      </c>
      <c r="G88" s="46" t="str">
        <f>IFERROR(__xludf.DUMMYFUNCTION("""COMPUTED_VALUE"""),"Kẹt tiền tầng 500k")</f>
        <v>Kẹt tiền tầng 500k</v>
      </c>
      <c r="H88" s="46"/>
      <c r="I88" s="46"/>
      <c r="J88" s="46" t="str">
        <f>IFERROR(__xludf.DUMMYFUNCTION("""COMPUTED_VALUE"""),"Kiểm tra thấy trục đỡ curoa Ex2 bị mòn và mủn vỡ. Thay thế và vệ sinh Ex")</f>
        <v>Kiểm tra thấy trục đỡ curoa Ex2 bị mòn và mủn vỡ. Thay thế và vệ sinh Ex</v>
      </c>
      <c r="K88" s="46" t="str">
        <f>IFERROR(__xludf.DUMMYFUNCTION("""COMPUTED_VALUE"""),"01 trục đỡ curoa Ex2")</f>
        <v>01 trục đỡ curoa Ex2</v>
      </c>
      <c r="L88" s="46"/>
      <c r="M88" s="46"/>
      <c r="N88" s="46"/>
      <c r="O88" s="46"/>
      <c r="P88" s="46" t="str">
        <f>IFERROR(__xludf.DUMMYFUNCTION("""COMPUTED_VALUE"""),"Chưa làm được bảo trì do đến muộn, lãnh đạo chỉ mở cho khắc phục xong thì đóng máy và tự theo dõi.")</f>
        <v>Chưa làm được bảo trì do đến muộn, lãnh đạo chỉ mở cho khắc phục xong thì đóng máy và tự theo dõi.</v>
      </c>
      <c r="Q88" s="46" t="str">
        <f>IFERROR(__xludf.DUMMYFUNCTION("""COMPUTED_VALUE"""),"Hoàn thành")</f>
        <v>Hoàn thành</v>
      </c>
      <c r="R88" s="46"/>
      <c r="S88" s="46"/>
      <c r="T88" s="46"/>
      <c r="U88" s="46"/>
      <c r="V88" s="46"/>
      <c r="W88" s="46"/>
      <c r="X88" s="46"/>
      <c r="Y88" s="46"/>
      <c r="Z88" s="46"/>
      <c r="AA88" s="46"/>
    </row>
    <row r="89">
      <c r="A89" s="55">
        <f>IFERROR(__xludf.DUMMYFUNCTION("""COMPUTED_VALUE"""),44272.37063600695)</f>
        <v>44272.37064</v>
      </c>
      <c r="B89" s="56">
        <f>IFERROR(__xludf.DUMMYFUNCTION("""COMPUTED_VALUE"""),44271.0)</f>
        <v>44271</v>
      </c>
      <c r="C89" s="59" t="str">
        <f t="shared" si="3"/>
        <v/>
      </c>
      <c r="D89" s="46" t="str">
        <f>IFERROR(__xludf.DUMMYFUNCTION("""COMPUTED_VALUE"""),"tienvm")</f>
        <v>tienvm</v>
      </c>
      <c r="E89" s="57" t="str">
        <f>IFERROR(__xludf.DUMMYFUNCTION("""COMPUTED_VALUE"""),"5300380550")</f>
        <v>5300380550</v>
      </c>
      <c r="F89" s="46" t="str">
        <f>IFERROR(__xludf.DUMMYFUNCTION("""COMPUTED_VALUE"""),"Tầng 1,2,3 Tòa Diamond Flower Tower - 48 Lê Văn Lương, Thanh Xuân, Hà Nội")</f>
        <v>Tầng 1,2,3 Tòa Diamond Flower Tower - 48 Lê Văn Lương, Thanh Xuân, Hà Nội</v>
      </c>
      <c r="G89" s="46" t="str">
        <f>IFERROR(__xludf.DUMMYFUNCTION("""COMPUTED_VALUE"""),"Tiền loại nhiều")</f>
        <v>Tiền loại nhiều</v>
      </c>
      <c r="H89" s="46"/>
      <c r="I89" s="46"/>
      <c r="J89" s="46" t="str">
        <f>IFERROR(__xludf.DUMMYFUNCTION("""COMPUTED_VALUE"""),"Kiểm tra các thiết bị không thấy bất thường. Clamp 1 bên khóa kém, đã chỉnh. Learn lại tiền các khay.")</f>
        <v>Kiểm tra các thiết bị không thấy bất thường. Clamp 1 bên khóa kém, đã chỉnh. Learn lại tiền các khay.</v>
      </c>
      <c r="K89" s="46"/>
      <c r="L89" s="46"/>
      <c r="M89" s="46"/>
      <c r="N89" s="46"/>
      <c r="O89" s="46"/>
      <c r="P89" s="46" t="str">
        <f>IFERROR(__xludf.DUMMYFUNCTION("""COMPUTED_VALUE"""),"Cần theo dõi thêm vì xử lý xong chỉ theo dõi được ít giao dịch (Không thấy lên tiền loại)..")</f>
        <v>Cần theo dõi thêm vì xử lý xong chỉ theo dõi được ít giao dịch (Không thấy lên tiền loại)..</v>
      </c>
      <c r="Q89" s="46" t="str">
        <f>IFERROR(__xludf.DUMMYFUNCTION("""COMPUTED_VALUE"""),"Hoàn thành")</f>
        <v>Hoàn thành</v>
      </c>
      <c r="R89" s="46"/>
      <c r="S89" s="46"/>
      <c r="T89" s="46"/>
      <c r="U89" s="46"/>
      <c r="V89" s="46"/>
      <c r="W89" s="46"/>
      <c r="X89" s="46"/>
      <c r="Y89" s="46"/>
      <c r="Z89" s="46"/>
      <c r="AA89" s="46"/>
    </row>
    <row r="90">
      <c r="A90" s="55">
        <f>IFERROR(__xludf.DUMMYFUNCTION("""COMPUTED_VALUE"""),44272.6320102662)</f>
        <v>44272.63201</v>
      </c>
      <c r="B90" s="56">
        <f>IFERROR(__xludf.DUMMYFUNCTION("""COMPUTED_VALUE"""),44271.0)</f>
        <v>44271</v>
      </c>
      <c r="C90" s="59" t="str">
        <f t="shared" si="3"/>
        <v/>
      </c>
      <c r="D90" s="46" t="str">
        <f>IFERROR(__xludf.DUMMYFUNCTION("""COMPUTED_VALUE"""),"Duclb")</f>
        <v>Duclb</v>
      </c>
      <c r="E90" s="57" t="str">
        <f>IFERROR(__xludf.DUMMYFUNCTION("""COMPUTED_VALUE"""),"5300381701")</f>
        <v>5300381701</v>
      </c>
      <c r="F90" s="46" t="str">
        <f>IFERROR(__xludf.DUMMYFUNCTION("""COMPUTED_VALUE"""),"739 Lạc Long Quân, Tây Hồ, Hà Nội")</f>
        <v>739 Lạc Long Quân, Tây Hồ, Hà Nội</v>
      </c>
      <c r="G90" s="46" t="str">
        <f>IFERROR(__xludf.DUMMYFUNCTION("""COMPUTED_VALUE"""),"Lỗi đầu đọc thẻ")</f>
        <v>Lỗi đầu đọc thẻ</v>
      </c>
      <c r="H90" s="46"/>
      <c r="I90" s="46"/>
      <c r="J90" s="46"/>
      <c r="K90" s="46" t="str">
        <f>IFERROR(__xludf.DUMMYFUNCTION("""COMPUTED_VALUE"""),"01 đầu đọc thẻ")</f>
        <v>01 đầu đọc thẻ</v>
      </c>
      <c r="L90" s="46"/>
      <c r="M90" s="46"/>
      <c r="N90" s="46"/>
      <c r="O90" s="46"/>
      <c r="P90" s="46"/>
      <c r="Q90" s="46" t="str">
        <f>IFERROR(__xludf.DUMMYFUNCTION("""COMPUTED_VALUE"""),"Hoàn thành")</f>
        <v>Hoàn thành</v>
      </c>
      <c r="R90" s="46"/>
      <c r="S90" s="46"/>
      <c r="T90" s="46"/>
      <c r="U90" s="46"/>
      <c r="V90" s="46"/>
      <c r="W90" s="46"/>
      <c r="X90" s="46"/>
      <c r="Y90" s="46"/>
      <c r="Z90" s="46"/>
      <c r="AA90" s="46"/>
    </row>
    <row r="91">
      <c r="A91" s="55">
        <f>IFERROR(__xludf.DUMMYFUNCTION("""COMPUTED_VALUE"""),44273.33289799769)</f>
        <v>44273.3329</v>
      </c>
      <c r="B91" s="56">
        <f>IFERROR(__xludf.DUMMYFUNCTION("""COMPUTED_VALUE"""),44263.0)</f>
        <v>44263</v>
      </c>
      <c r="C91" s="59" t="str">
        <f t="shared" si="3"/>
        <v>Báo cáo muộn</v>
      </c>
      <c r="D91" s="46" t="str">
        <f>IFERROR(__xludf.DUMMYFUNCTION("""COMPUTED_VALUE"""),"Hieppn")</f>
        <v>Hieppn</v>
      </c>
      <c r="E91" s="57" t="str">
        <f>IFERROR(__xludf.DUMMYFUNCTION("""COMPUTED_VALUE"""),"56HG707950")</f>
        <v>56HG707950</v>
      </c>
      <c r="F91" s="46" t="str">
        <f>IFERROR(__xludf.DUMMYFUNCTION("""COMPUTED_VALUE"""),"Km6 Đại lộ Thăng Long, Phường Tây Mỗ, Quận Nam Từ Liêm, TP Hà Nội")</f>
        <v>Km6 Đại lộ Thăng Long, Phường Tây Mỗ, Quận Nam Từ Liêm, TP Hà Nội</v>
      </c>
      <c r="G91" s="46" t="str">
        <f>IFERROR(__xludf.DUMMYFUNCTION("""COMPUTED_VALUE"""),"Lỗi HDD PC")</f>
        <v>Lỗi HDD PC</v>
      </c>
      <c r="H91" s="46"/>
      <c r="I91" s="46"/>
      <c r="J91" s="46" t="str">
        <f>IFERROR(__xludf.DUMMYFUNCTION("""COMPUTED_VALUE"""),"Thay thế Hdd và cài đặt máy")</f>
        <v>Thay thế Hdd và cài đặt máy</v>
      </c>
      <c r="K91" s="46" t="str">
        <f>IFERROR(__xludf.DUMMYFUNCTION("""COMPUTED_VALUE"""),"01HDD")</f>
        <v>01HDD</v>
      </c>
      <c r="L91" s="46"/>
      <c r="M91" s="46"/>
      <c r="N91" s="46"/>
      <c r="O91" s="46"/>
      <c r="P91" s="46"/>
      <c r="Q91" s="46" t="str">
        <f>IFERROR(__xludf.DUMMYFUNCTION("""COMPUTED_VALUE"""),"Hoàn thành")</f>
        <v>Hoàn thành</v>
      </c>
      <c r="R91" s="46"/>
      <c r="S91" s="46"/>
      <c r="T91" s="46"/>
      <c r="U91" s="46"/>
      <c r="V91" s="46"/>
      <c r="W91" s="46"/>
      <c r="X91" s="46"/>
      <c r="Y91" s="46"/>
      <c r="Z91" s="46"/>
      <c r="AA91" s="46"/>
    </row>
    <row r="92">
      <c r="A92" s="55">
        <f>IFERROR(__xludf.DUMMYFUNCTION("""COMPUTED_VALUE"""),44273.33486927084)</f>
        <v>44273.33487</v>
      </c>
      <c r="B92" s="56">
        <f>IFERROR(__xludf.DUMMYFUNCTION("""COMPUTED_VALUE"""),44265.0)</f>
        <v>44265</v>
      </c>
      <c r="C92" s="59" t="str">
        <f t="shared" si="3"/>
        <v>Báo cáo muộn</v>
      </c>
      <c r="D92" s="46" t="str">
        <f>IFERROR(__xludf.DUMMYFUNCTION("""COMPUTED_VALUE"""),"Hieppn")</f>
        <v>Hieppn</v>
      </c>
      <c r="E92" s="57" t="str">
        <f>IFERROR(__xludf.DUMMYFUNCTION("""COMPUTED_VALUE"""),"56HG707953")</f>
        <v>56HG707953</v>
      </c>
      <c r="F92" s="46" t="str">
        <f>IFERROR(__xludf.DUMMYFUNCTION("""COMPUTED_VALUE"""),"Số 279 A phố Chùa Thông, Sơn Tây, thành phố Hà nội")</f>
        <v>Số 279 A phố Chùa Thông, Sơn Tây, thành phố Hà nội</v>
      </c>
      <c r="G92" s="46" t="str">
        <f>IFERROR(__xludf.DUMMYFUNCTION("""COMPUTED_VALUE"""),"Lỗi phần mềm")</f>
        <v>Lỗi phần mềm</v>
      </c>
      <c r="H92" s="46"/>
      <c r="I92" s="46"/>
      <c r="J92" s="46" t="str">
        <f>IFERROR(__xludf.DUMMYFUNCTION("""COMPUTED_VALUE"""),"Cài lại phần mềm")</f>
        <v>Cài lại phần mềm</v>
      </c>
      <c r="K92" s="46"/>
      <c r="L92" s="46"/>
      <c r="M92" s="46"/>
      <c r="N92" s="46"/>
      <c r="O92" s="46"/>
      <c r="P92" s="46"/>
      <c r="Q92" s="46" t="str">
        <f>IFERROR(__xludf.DUMMYFUNCTION("""COMPUTED_VALUE"""),"Hoàn thành")</f>
        <v>Hoàn thành</v>
      </c>
      <c r="R92" s="46"/>
      <c r="S92" s="46"/>
      <c r="T92" s="46"/>
      <c r="U92" s="46"/>
      <c r="V92" s="46"/>
      <c r="W92" s="46"/>
      <c r="X92" s="46"/>
      <c r="Y92" s="46"/>
      <c r="Z92" s="46"/>
      <c r="AA92" s="46"/>
    </row>
    <row r="93">
      <c r="A93" s="55">
        <f>IFERROR(__xludf.DUMMYFUNCTION("""COMPUTED_VALUE"""),44273.33547283565)</f>
        <v>44273.33547</v>
      </c>
      <c r="B93" s="56">
        <f>IFERROR(__xludf.DUMMYFUNCTION("""COMPUTED_VALUE"""),44265.0)</f>
        <v>44265</v>
      </c>
      <c r="C93" s="59" t="str">
        <f t="shared" si="3"/>
        <v>Báo cáo muộn</v>
      </c>
      <c r="D93" s="46" t="str">
        <f>IFERROR(__xludf.DUMMYFUNCTION("""COMPUTED_VALUE"""),"Hieppn")</f>
        <v>Hieppn</v>
      </c>
      <c r="E93" s="57" t="str">
        <f>IFERROR(__xludf.DUMMYFUNCTION("""COMPUTED_VALUE"""),"5300380399")</f>
        <v>5300380399</v>
      </c>
      <c r="F93" s="46" t="str">
        <f>IFERROR(__xludf.DUMMYFUNCTION("""COMPUTED_VALUE"""),"Đường Thừa Dụ - Thị trấn Ninh Giang - H. Ninh Giang - T. Hải Dương")</f>
        <v>Đường Thừa Dụ - Thị trấn Ninh Giang - H. Ninh Giang - T. Hải Dương</v>
      </c>
      <c r="G93" s="46" t="str">
        <f>IFERROR(__xludf.DUMMYFUNCTION("""COMPUTED_VALUE"""),"Lỗi phần mềm")</f>
        <v>Lỗi phần mềm</v>
      </c>
      <c r="H93" s="46"/>
      <c r="I93" s="46"/>
      <c r="J93" s="46" t="str">
        <f>IFERROR(__xludf.DUMMYFUNCTION("""COMPUTED_VALUE"""),"Cài lại phần mềm")</f>
        <v>Cài lại phần mềm</v>
      </c>
      <c r="K93" s="46"/>
      <c r="L93" s="46"/>
      <c r="M93" s="46"/>
      <c r="N93" s="46"/>
      <c r="O93" s="46"/>
      <c r="P93" s="46"/>
      <c r="Q93" s="46" t="str">
        <f>IFERROR(__xludf.DUMMYFUNCTION("""COMPUTED_VALUE"""),"Hoàn thành")</f>
        <v>Hoàn thành</v>
      </c>
      <c r="R93" s="46"/>
      <c r="S93" s="46"/>
      <c r="T93" s="46"/>
      <c r="U93" s="46"/>
      <c r="V93" s="46"/>
      <c r="W93" s="46"/>
      <c r="X93" s="46"/>
      <c r="Y93" s="46"/>
      <c r="Z93" s="46"/>
      <c r="AA93" s="46"/>
    </row>
    <row r="94">
      <c r="A94" s="55">
        <f>IFERROR(__xludf.DUMMYFUNCTION("""COMPUTED_VALUE"""),44273.33956695602)</f>
        <v>44273.33957</v>
      </c>
      <c r="B94" s="56">
        <f>IFERROR(__xludf.DUMMYFUNCTION("""COMPUTED_VALUE"""),44266.0)</f>
        <v>44266</v>
      </c>
      <c r="C94" s="59" t="str">
        <f t="shared" si="3"/>
        <v>Báo cáo muộn</v>
      </c>
      <c r="D94" s="46" t="str">
        <f>IFERROR(__xludf.DUMMYFUNCTION("""COMPUTED_VALUE"""),"Hieppn")</f>
        <v>Hieppn</v>
      </c>
      <c r="E94" s="57" t="str">
        <f>IFERROR(__xludf.DUMMYFUNCTION("""COMPUTED_VALUE"""),"J821002772")</f>
        <v>J821002772</v>
      </c>
      <c r="F94" s="46" t="str">
        <f>IFERROR(__xludf.DUMMYFUNCTION("""COMPUTED_VALUE"""),"Tòa nhà MB, Số 63 Lê Văn Lương, Hà Nội")</f>
        <v>Tòa nhà MB, Số 63 Lê Văn Lương, Hà Nội</v>
      </c>
      <c r="G94" s="46" t="str">
        <f>IFERROR(__xludf.DUMMYFUNCTION("""COMPUTED_VALUE"""),"Lỗi presentor")</f>
        <v>Lỗi presentor</v>
      </c>
      <c r="H94" s="46"/>
      <c r="I94" s="46"/>
      <c r="J94" s="46" t="str">
        <f>IFERROR(__xludf.DUMMYFUNCTION("""COMPUTED_VALUE"""),"Thay thế và vệ sinh bộ trả tiền")</f>
        <v>Thay thế và vệ sinh bộ trả tiền</v>
      </c>
      <c r="K94" s="46" t="str">
        <f>IFERROR(__xludf.DUMMYFUNCTION("""COMPUTED_VALUE"""),"01presentor")</f>
        <v>01presentor</v>
      </c>
      <c r="L94" s="46"/>
      <c r="M94" s="46"/>
      <c r="N94" s="46"/>
      <c r="O94" s="46"/>
      <c r="P94" s="46"/>
      <c r="Q94" s="46" t="str">
        <f>IFERROR(__xludf.DUMMYFUNCTION("""COMPUTED_VALUE"""),"Hoàn thành")</f>
        <v>Hoàn thành</v>
      </c>
      <c r="R94" s="46"/>
      <c r="S94" s="46"/>
      <c r="T94" s="46"/>
      <c r="U94" s="46"/>
      <c r="V94" s="46"/>
      <c r="W94" s="46"/>
      <c r="X94" s="46"/>
      <c r="Y94" s="46"/>
      <c r="Z94" s="46"/>
      <c r="AA94" s="46"/>
    </row>
    <row r="95">
      <c r="A95" s="55">
        <f>IFERROR(__xludf.DUMMYFUNCTION("""COMPUTED_VALUE"""),44273.340751932876)</f>
        <v>44273.34075</v>
      </c>
      <c r="B95" s="56">
        <f>IFERROR(__xludf.DUMMYFUNCTION("""COMPUTED_VALUE"""),44267.0)</f>
        <v>44267</v>
      </c>
      <c r="C95" s="59" t="str">
        <f t="shared" si="3"/>
        <v>Báo cáo muộn</v>
      </c>
      <c r="D95" s="46" t="str">
        <f>IFERROR(__xludf.DUMMYFUNCTION("""COMPUTED_VALUE"""),"Hieppn")</f>
        <v>Hieppn</v>
      </c>
      <c r="E95" s="57" t="str">
        <f>IFERROR(__xludf.DUMMYFUNCTION("""COMPUTED_VALUE"""),"5310105348")</f>
        <v>5310105348</v>
      </c>
      <c r="F95" s="46" t="str">
        <f>IFERROR(__xludf.DUMMYFUNCTION("""COMPUTED_VALUE"""),"Số 06 khu Yên Sơn, thị trấn Chúc Sơn, huyện Chương Mỹ")</f>
        <v>Số 06 khu Yên Sơn, thị trấn Chúc Sơn, huyện Chương Mỹ</v>
      </c>
      <c r="G95" s="46" t="str">
        <f>IFERROR(__xludf.DUMMYFUNCTION("""COMPUTED_VALUE"""),"Lỗi đầu đọc thẻ")</f>
        <v>Lỗi đầu đọc thẻ</v>
      </c>
      <c r="H95" s="46"/>
      <c r="I95" s="46"/>
      <c r="J95" s="46" t="str">
        <f>IFERROR(__xludf.DUMMYFUNCTION("""COMPUTED_VALUE"""),"Thay thế ")</f>
        <v>Thay thế </v>
      </c>
      <c r="K95" s="46" t="str">
        <f>IFERROR(__xludf.DUMMYFUNCTION("""COMPUTED_VALUE"""),"01 đầu từ đầu đọc thẻ")</f>
        <v>01 đầu từ đầu đọc thẻ</v>
      </c>
      <c r="L95" s="46"/>
      <c r="M95" s="46"/>
      <c r="N95" s="46"/>
      <c r="O95" s="46"/>
      <c r="P95" s="46"/>
      <c r="Q95" s="46" t="str">
        <f>IFERROR(__xludf.DUMMYFUNCTION("""COMPUTED_VALUE"""),"Hoàn thành")</f>
        <v>Hoàn thành</v>
      </c>
      <c r="R95" s="46"/>
      <c r="S95" s="46"/>
      <c r="T95" s="46"/>
      <c r="U95" s="46"/>
      <c r="V95" s="46"/>
      <c r="W95" s="46"/>
      <c r="X95" s="46"/>
      <c r="Y95" s="46"/>
      <c r="Z95" s="46"/>
      <c r="AA95" s="46"/>
    </row>
    <row r="96">
      <c r="A96" s="55">
        <f>IFERROR(__xludf.DUMMYFUNCTION("""COMPUTED_VALUE"""),44273.34393574074)</f>
        <v>44273.34394</v>
      </c>
      <c r="B96" s="56">
        <f>IFERROR(__xludf.DUMMYFUNCTION("""COMPUTED_VALUE"""),44271.0)</f>
        <v>44271</v>
      </c>
      <c r="C96" s="59" t="str">
        <f t="shared" si="3"/>
        <v>Báo cáo muộn</v>
      </c>
      <c r="D96" s="46" t="str">
        <f>IFERROR(__xludf.DUMMYFUNCTION("""COMPUTED_VALUE"""),"Hieppn")</f>
        <v>Hieppn</v>
      </c>
      <c r="E96" s="57" t="str">
        <f>IFERROR(__xludf.DUMMYFUNCTION("""COMPUTED_VALUE"""),"5310106091")</f>
        <v>5310106091</v>
      </c>
      <c r="F96" s="46" t="str">
        <f>IFERROR(__xludf.DUMMYFUNCTION("""COMPUTED_VALUE"""),"Trụ sở PGD Chợ Thi, thôn Gạo Nam, xã Hồ Tùng Mậu, huyện Ân Thi, Hưng Yên")</f>
        <v>Trụ sở PGD Chợ Thi, thôn Gạo Nam, xã Hồ Tùng Mậu, huyện Ân Thi, Hưng Yên</v>
      </c>
      <c r="G96" s="46" t="str">
        <f>IFERROR(__xludf.DUMMYFUNCTION("""COMPUTED_VALUE"""),"Máy hay khởi động lại kết hợp bảo trì")</f>
        <v>Máy hay khởi động lại kết hợp bảo trì</v>
      </c>
      <c r="H96" s="46"/>
      <c r="I96" s="46"/>
      <c r="J96" s="46" t="str">
        <f>IFERROR(__xludf.DUMMYFUNCTION("""COMPUTED_VALUE"""),"Thay thế kết hợp bảo trì")</f>
        <v>Thay thế kết hợp bảo trì</v>
      </c>
      <c r="K96" s="46" t="str">
        <f>IFERROR(__xludf.DUMMYFUNCTION("""COMPUTED_VALUE"""),"01 quạt chíp")</f>
        <v>01 quạt chíp</v>
      </c>
      <c r="L96" s="46" t="str">
        <f>IFERROR(__xludf.DUMMYFUNCTION("""COMPUTED_VALUE"""),"01 trục ghép")</f>
        <v>01 trục ghép</v>
      </c>
      <c r="M96" s="46"/>
      <c r="N96" s="46"/>
      <c r="O96" s="46"/>
      <c r="P96" s="46"/>
      <c r="Q96" s="46" t="str">
        <f>IFERROR(__xludf.DUMMYFUNCTION("""COMPUTED_VALUE"""),"Hoàn thành")</f>
        <v>Hoàn thành</v>
      </c>
      <c r="R96" s="46"/>
      <c r="S96" s="46"/>
      <c r="T96" s="46"/>
      <c r="U96" s="46"/>
      <c r="V96" s="46"/>
      <c r="W96" s="46"/>
      <c r="X96" s="46"/>
      <c r="Y96" s="46"/>
      <c r="Z96" s="46"/>
      <c r="AA96" s="46"/>
    </row>
    <row r="97">
      <c r="A97" s="55">
        <f>IFERROR(__xludf.DUMMYFUNCTION("""COMPUTED_VALUE"""),44273.34451887732)</f>
        <v>44273.34452</v>
      </c>
      <c r="B97" s="56">
        <f>IFERROR(__xludf.DUMMYFUNCTION("""COMPUTED_VALUE"""),44272.0)</f>
        <v>44272</v>
      </c>
      <c r="C97" s="59" t="str">
        <f t="shared" si="3"/>
        <v/>
      </c>
      <c r="D97" s="46" t="str">
        <f>IFERROR(__xludf.DUMMYFUNCTION("""COMPUTED_VALUE"""),"Hieppn")</f>
        <v>Hieppn</v>
      </c>
      <c r="E97" s="57" t="str">
        <f>IFERROR(__xludf.DUMMYFUNCTION("""COMPUTED_VALUE"""),"5300381701")</f>
        <v>5300381701</v>
      </c>
      <c r="F97" s="46" t="str">
        <f>IFERROR(__xludf.DUMMYFUNCTION("""COMPUTED_VALUE"""),"739 Lạc Long Quân, Tây Hồ, Hà Nội")</f>
        <v>739 Lạc Long Quân, Tây Hồ, Hà Nội</v>
      </c>
      <c r="G97" s="46" t="str">
        <f>IFERROR(__xludf.DUMMYFUNCTION("""COMPUTED_VALUE"""),"Bảo trì ATM")</f>
        <v>Bảo trì ATM</v>
      </c>
      <c r="H97" s="46"/>
      <c r="I97" s="46"/>
      <c r="J97" s="46" t="str">
        <f>IFERROR(__xludf.DUMMYFUNCTION("""COMPUTED_VALUE"""),"Vệ sinh bộ trả tiền và máy ATM")</f>
        <v>Vệ sinh bộ trả tiền và máy ATM</v>
      </c>
      <c r="K97" s="46"/>
      <c r="L97" s="46"/>
      <c r="M97" s="46"/>
      <c r="N97" s="46"/>
      <c r="O97" s="46"/>
      <c r="P97" s="46"/>
      <c r="Q97" s="46" t="str">
        <f>IFERROR(__xludf.DUMMYFUNCTION("""COMPUTED_VALUE"""),"Hoàn thành")</f>
        <v>Hoàn thành</v>
      </c>
      <c r="R97" s="46"/>
      <c r="S97" s="46"/>
      <c r="T97" s="46"/>
      <c r="U97" s="46"/>
      <c r="V97" s="46"/>
      <c r="W97" s="46"/>
      <c r="X97" s="46"/>
      <c r="Y97" s="46"/>
      <c r="Z97" s="46"/>
      <c r="AA97" s="46"/>
    </row>
    <row r="98">
      <c r="A98" s="55">
        <f>IFERROR(__xludf.DUMMYFUNCTION("""COMPUTED_VALUE"""),44274.91988965278)</f>
        <v>44274.91989</v>
      </c>
      <c r="B98" s="56">
        <f>IFERROR(__xludf.DUMMYFUNCTION("""COMPUTED_VALUE"""),44274.0)</f>
        <v>44274</v>
      </c>
      <c r="C98" s="59" t="str">
        <f t="shared" si="3"/>
        <v/>
      </c>
      <c r="D98" s="46" t="str">
        <f>IFERROR(__xludf.DUMMYFUNCTION("""COMPUTED_VALUE"""),"Hieppn")</f>
        <v>Hieppn</v>
      </c>
      <c r="E98" s="57" t="str">
        <f>IFERROR(__xludf.DUMMYFUNCTION("""COMPUTED_VALUE"""),"5300378026")</f>
        <v>5300378026</v>
      </c>
      <c r="F98" s="46" t="str">
        <f>IFERROR(__xludf.DUMMYFUNCTION("""COMPUTED_VALUE"""),"12 khối 6 TT Cao Lộc, huyện Cao Lộc, Lạng Sơn")</f>
        <v>12 khối 6 TT Cao Lộc, huyện Cao Lộc, Lạng Sơn</v>
      </c>
      <c r="G98" s="46" t="str">
        <f>IFERROR(__xludf.DUMMYFUNCTION("""COMPUTED_VALUE"""),"Lỗi đầu đọc thẻ và máy in")</f>
        <v>Lỗi đầu đọc thẻ và máy in</v>
      </c>
      <c r="H98" s="46"/>
      <c r="I98" s="46"/>
      <c r="J98" s="46" t="str">
        <f>IFERROR(__xludf.DUMMYFUNCTION("""COMPUTED_VALUE"""),"Thay thế và gỡ giấy in bị kẹt")</f>
        <v>Thay thế và gỡ giấy in bị kẹt</v>
      </c>
      <c r="K98" s="46" t="str">
        <f>IFERROR(__xludf.DUMMYFUNCTION("""COMPUTED_VALUE"""),"01 đầu đọc thẻ")</f>
        <v>01 đầu đọc thẻ</v>
      </c>
      <c r="L98" s="46"/>
      <c r="M98" s="46"/>
      <c r="N98" s="46"/>
      <c r="O98" s="46"/>
      <c r="P98" s="46"/>
      <c r="Q98" s="46" t="str">
        <f>IFERROR(__xludf.DUMMYFUNCTION("""COMPUTED_VALUE"""),"Hoàn thành")</f>
        <v>Hoàn thành</v>
      </c>
      <c r="R98" s="46"/>
      <c r="S98" s="46"/>
      <c r="T98" s="46"/>
      <c r="U98" s="46"/>
      <c r="V98" s="46"/>
      <c r="W98" s="46"/>
      <c r="X98" s="46"/>
      <c r="Y98" s="46"/>
      <c r="Z98" s="46"/>
      <c r="AA98" s="46"/>
    </row>
    <row r="99">
      <c r="A99" s="55">
        <f>IFERROR(__xludf.DUMMYFUNCTION("""COMPUTED_VALUE"""),44275.35353627315)</f>
        <v>44275.35354</v>
      </c>
      <c r="B99" s="56">
        <f>IFERROR(__xludf.DUMMYFUNCTION("""COMPUTED_VALUE"""),44274.0)</f>
        <v>44274</v>
      </c>
      <c r="C99" s="59" t="str">
        <f t="shared" si="3"/>
        <v/>
      </c>
      <c r="D99" s="46" t="str">
        <f>IFERROR(__xludf.DUMMYFUNCTION("""COMPUTED_VALUE"""),"tienvm")</f>
        <v>tienvm</v>
      </c>
      <c r="E99" s="57" t="str">
        <f>IFERROR(__xludf.DUMMYFUNCTION("""COMPUTED_VALUE"""),"5310107147")</f>
        <v>5310107147</v>
      </c>
      <c r="F99" s="46" t="str">
        <f>IFERROR(__xludf.DUMMYFUNCTION("""COMPUTED_VALUE"""),"Số 7, đường Lý Thái Tổ, phường Đông Kinh, TP. Lạng Sơn")</f>
        <v>Số 7, đường Lý Thái Tổ, phường Đông Kinh, TP. Lạng Sơn</v>
      </c>
      <c r="G99" s="46" t="str">
        <f>IFERROR(__xludf.DUMMYFUNCTION("""COMPUTED_VALUE"""),"Hay kẹt tiền miếng nhựa trong và máy in hóa đơn lúc in được lúc không")</f>
        <v>Hay kẹt tiền miếng nhựa trong và máy in hóa đơn lúc in được lúc không</v>
      </c>
      <c r="H99" s="46"/>
      <c r="I99" s="46"/>
      <c r="J99" s="46" t="str">
        <f>IFERROR(__xludf.DUMMYFUNCTION("""COMPUTED_VALUE"""),"Thay thế 01 Pre. Tháo, kiểm tra và vệ sinh toàn bộ máy in.")</f>
        <v>Thay thế 01 Pre. Tháo, kiểm tra và vệ sinh toàn bộ máy in.</v>
      </c>
      <c r="K99" s="46" t="str">
        <f>IFERROR(__xludf.DUMMYFUNCTION("""COMPUTED_VALUE"""),"01 Pre")</f>
        <v>01 Pre</v>
      </c>
      <c r="L99" s="46"/>
      <c r="M99" s="46"/>
      <c r="N99" s="46"/>
      <c r="O99" s="46"/>
      <c r="P99" s="46" t="str">
        <f>IFERROR(__xludf.DUMMYFUNCTION("""COMPUTED_VALUE"""),"Trong quá trình test xuất hiện 17. Kiểm tra thấy motor clamp có tiếng ""sần sật"", khả năng 1 răng của motor bên trong bị mòn/ kém; khóa vàng khó khóa, đã căn chỉnh lại. Nếu bị lại cần thay thế.")</f>
        <v>Trong quá trình test xuất hiện 17. Kiểm tra thấy motor clamp có tiếng "sần sật", khả năng 1 răng của motor bên trong bị mòn/ kém; khóa vàng khó khóa, đã căn chỉnh lại. Nếu bị lại cần thay thế.</v>
      </c>
      <c r="Q99" s="46" t="str">
        <f>IFERROR(__xludf.DUMMYFUNCTION("""COMPUTED_VALUE"""),"Hoàn thành")</f>
        <v>Hoàn thành</v>
      </c>
      <c r="R99" s="46"/>
      <c r="S99" s="46"/>
      <c r="T99" s="46"/>
      <c r="U99" s="46"/>
      <c r="V99" s="46"/>
      <c r="W99" s="46"/>
      <c r="X99" s="46"/>
      <c r="Y99" s="46"/>
      <c r="Z99" s="46"/>
      <c r="AA99" s="46"/>
    </row>
    <row r="100">
      <c r="A100" s="55">
        <f>IFERROR(__xludf.DUMMYFUNCTION("""COMPUTED_VALUE"""),44275.35451803241)</f>
        <v>44275.35452</v>
      </c>
      <c r="B100" s="56">
        <f>IFERROR(__xludf.DUMMYFUNCTION("""COMPUTED_VALUE"""),44274.0)</f>
        <v>44274</v>
      </c>
      <c r="C100" s="59" t="str">
        <f t="shared" si="3"/>
        <v/>
      </c>
      <c r="D100" s="46" t="str">
        <f>IFERROR(__xludf.DUMMYFUNCTION("""COMPUTED_VALUE"""),"tienvm")</f>
        <v>tienvm</v>
      </c>
      <c r="E100" s="57" t="str">
        <f>IFERROR(__xludf.DUMMYFUNCTION("""COMPUTED_VALUE"""),"5310180929")</f>
        <v>5310180929</v>
      </c>
      <c r="F100" s="46" t="str">
        <f>IFERROR(__xludf.DUMMYFUNCTION("""COMPUTED_VALUE"""),"27 Nguyễn Thái Học, TT Phùng, huyện Đan Phượng, TP Hà Nội")</f>
        <v>27 Nguyễn Thái Học, TT Phùng, huyện Đan Phượng, TP Hà Nội</v>
      </c>
      <c r="G100" s="46" t="str">
        <f>IFERROR(__xludf.DUMMYFUNCTION("""COMPUTED_VALUE"""),"Bảo trì toàn bộ máy, khay 100k không nhận")</f>
        <v>Bảo trì toàn bộ máy, khay 100k không nhận</v>
      </c>
      <c r="H100" s="46"/>
      <c r="I100" s="46" t="str">
        <f>IFERROR(__xludf.DUMMYFUNCTION("""COMPUTED_VALUE"""),"Bảo trì")</f>
        <v>Bảo trì</v>
      </c>
      <c r="J100" s="46" t="str">
        <f>IFERROR(__xludf.DUMMYFUNCTION("""COMPUTED_VALUE"""),"Bảo trì toàn bộ máy. Khay tiền 100k bị cứng miếng thép ở đầu và motor bị trượt. Tiến hành tra dầu và làm mềm phần cơ, đã nhận lại bình thường.")</f>
        <v>Bảo trì toàn bộ máy. Khay tiền 100k bị cứng miếng thép ở đầu và motor bị trượt. Tiến hành tra dầu và làm mềm phần cơ, đã nhận lại bình thường.</v>
      </c>
      <c r="K100" s="46"/>
      <c r="L100" s="46"/>
      <c r="M100" s="46"/>
      <c r="N100" s="46"/>
      <c r="O100" s="46"/>
      <c r="P100" s="46"/>
      <c r="Q100" s="46" t="str">
        <f>IFERROR(__xludf.DUMMYFUNCTION("""COMPUTED_VALUE"""),"Hoàn thành")</f>
        <v>Hoàn thành</v>
      </c>
      <c r="R100" s="46"/>
      <c r="S100" s="46"/>
      <c r="T100" s="46"/>
      <c r="U100" s="46"/>
      <c r="V100" s="46"/>
      <c r="W100" s="46"/>
      <c r="X100" s="46"/>
      <c r="Y100" s="46"/>
      <c r="Z100" s="46"/>
      <c r="AA100" s="46"/>
    </row>
    <row r="101">
      <c r="A101" s="55">
        <f>IFERROR(__xludf.DUMMYFUNCTION("""COMPUTED_VALUE"""),44275.3561453125)</f>
        <v>44275.35615</v>
      </c>
      <c r="B101" s="56">
        <f>IFERROR(__xludf.DUMMYFUNCTION("""COMPUTED_VALUE"""),44274.0)</f>
        <v>44274</v>
      </c>
      <c r="C101" s="59" t="str">
        <f t="shared" si="3"/>
        <v/>
      </c>
      <c r="D101" s="46" t="str">
        <f>IFERROR(__xludf.DUMMYFUNCTION("""COMPUTED_VALUE"""),"tienvm")</f>
        <v>tienvm</v>
      </c>
      <c r="E101" s="57" t="str">
        <f>IFERROR(__xludf.DUMMYFUNCTION("""COMPUTED_VALUE"""),"5300381795")</f>
        <v>5300381795</v>
      </c>
      <c r="F101" s="46" t="str">
        <f>IFERROR(__xludf.DUMMYFUNCTION("""COMPUTED_VALUE"""),"37 Nguyễn Đăng Đạo, P. Suối Hoa, Bắc Ninh")</f>
        <v>37 Nguyễn Đăng Đạo, P. Suối Hoa, Bắc Ninh</v>
      </c>
      <c r="G101" s="46" t="str">
        <f>IFERROR(__xludf.DUMMYFUNCTION("""COMPUTED_VALUE"""),"Kẹt tiền liên tục tầng 500k")</f>
        <v>Kẹt tiền liên tục tầng 500k</v>
      </c>
      <c r="H101" s="46"/>
      <c r="I101" s="46"/>
      <c r="J101" s="46" t="str">
        <f>IFERROR(__xludf.DUMMYFUNCTION("""COMPUTED_VALUE"""),"Miếng thép tầng 500k hơi vênh ra. Đã vệ sinh, căn chỉnh lại miếng thép và gap tầng 500k.")</f>
        <v>Miếng thép tầng 500k hơi vênh ra. Đã vệ sinh, căn chỉnh lại miếng thép và gap tầng 500k.</v>
      </c>
      <c r="K101" s="46"/>
      <c r="L101" s="46"/>
      <c r="M101" s="46"/>
      <c r="N101" s="46"/>
      <c r="O101" s="46"/>
      <c r="P101" s="46"/>
      <c r="Q101" s="46" t="str">
        <f>IFERROR(__xludf.DUMMYFUNCTION("""COMPUTED_VALUE"""),"Hoàn thành")</f>
        <v>Hoàn thành</v>
      </c>
      <c r="R101" s="46"/>
      <c r="S101" s="46"/>
      <c r="T101" s="46"/>
      <c r="U101" s="46"/>
      <c r="V101" s="46"/>
      <c r="W101" s="46"/>
      <c r="X101" s="46"/>
      <c r="Y101" s="46"/>
      <c r="Z101" s="46"/>
      <c r="AA101" s="46"/>
    </row>
    <row r="102">
      <c r="A102" s="55">
        <f>IFERROR(__xludf.DUMMYFUNCTION("""COMPUTED_VALUE"""),44277.54665056713)</f>
        <v>44277.54665</v>
      </c>
      <c r="B102" s="56">
        <f>IFERROR(__xludf.DUMMYFUNCTION("""COMPUTED_VALUE"""),44277.0)</f>
        <v>44277</v>
      </c>
      <c r="C102" s="59" t="str">
        <f t="shared" si="3"/>
        <v/>
      </c>
      <c r="D102" s="46" t="str">
        <f>IFERROR(__xludf.DUMMYFUNCTION("""COMPUTED_VALUE"""),"Duclb")</f>
        <v>Duclb</v>
      </c>
      <c r="E102" s="57" t="str">
        <f>IFERROR(__xludf.DUMMYFUNCTION("""COMPUTED_VALUE"""),"5300378911")</f>
        <v>5300378911</v>
      </c>
      <c r="F102" s="46" t="str">
        <f>IFERROR(__xludf.DUMMYFUNCTION("""COMPUTED_VALUE"""),"Thị trấn Ân Thi - H. Ân Thi - Hưng Yên")</f>
        <v>Thị trấn Ân Thi - H. Ân Thi - Hưng Yên</v>
      </c>
      <c r="G102" s="46" t="str">
        <f>IFERROR(__xludf.DUMMYFUNCTION("""COMPUTED_VALUE"""),"Lỗi đầu đọc thẻ")</f>
        <v>Lỗi đầu đọc thẻ</v>
      </c>
      <c r="H102" s="46"/>
      <c r="I102" s="46" t="str">
        <f>IFERROR(__xludf.DUMMYFUNCTION("""COMPUTED_VALUE"""),"Bảo trì")</f>
        <v>Bảo trì</v>
      </c>
      <c r="J102" s="46"/>
      <c r="K102" s="46" t="str">
        <f>IFERROR(__xludf.DUMMYFUNCTION("""COMPUTED_VALUE"""),"02 trục gap")</f>
        <v>02 trục gap</v>
      </c>
      <c r="L102" s="46" t="str">
        <f>IFERROR(__xludf.DUMMYFUNCTION("""COMPUTED_VALUE"""),"01 đầu đọc thẻ")</f>
        <v>01 đầu đọc thẻ</v>
      </c>
      <c r="M102" s="46"/>
      <c r="N102" s="46"/>
      <c r="O102" s="46"/>
      <c r="P102" s="46" t="str">
        <f>IFERROR(__xludf.DUMMYFUNCTION("""COMPUTED_VALUE"""),"Bo ngang lỗi 01")</f>
        <v>Bo ngang lỗi 01</v>
      </c>
      <c r="Q102" s="46" t="str">
        <f>IFERROR(__xludf.DUMMYFUNCTION("""COMPUTED_VALUE"""),"Hoàn thành")</f>
        <v>Hoàn thành</v>
      </c>
      <c r="R102" s="46"/>
      <c r="S102" s="46"/>
      <c r="T102" s="46"/>
      <c r="U102" s="46"/>
      <c r="V102" s="46"/>
      <c r="W102" s="46"/>
      <c r="X102" s="46"/>
      <c r="Y102" s="46"/>
      <c r="Z102" s="46"/>
      <c r="AA102" s="46"/>
    </row>
    <row r="103">
      <c r="A103" s="55">
        <f>IFERROR(__xludf.DUMMYFUNCTION("""COMPUTED_VALUE"""),44278.61740297454)</f>
        <v>44278.6174</v>
      </c>
      <c r="B103" s="56">
        <f>IFERROR(__xludf.DUMMYFUNCTION("""COMPUTED_VALUE"""),44278.0)</f>
        <v>44278</v>
      </c>
      <c r="C103" s="59" t="str">
        <f t="shared" si="3"/>
        <v/>
      </c>
      <c r="D103" s="46" t="str">
        <f>IFERROR(__xludf.DUMMYFUNCTION("""COMPUTED_VALUE"""),"Duclb")</f>
        <v>Duclb</v>
      </c>
      <c r="E103" s="57" t="str">
        <f>IFERROR(__xludf.DUMMYFUNCTION("""COMPUTED_VALUE"""),"5300381645")</f>
        <v>5300381645</v>
      </c>
      <c r="F103" s="46" t="str">
        <f>IFERROR(__xludf.DUMMYFUNCTION("""COMPUTED_VALUE"""),"Tổ 9 P. Nguyễn Thị Minh Khai , TP Bắc Cạn, Bắc Cạn")</f>
        <v>Tổ 9 P. Nguyễn Thị Minh Khai , TP Bắc Cạn, Bắc Cạn</v>
      </c>
      <c r="G103" s="46" t="str">
        <f>IFERROR(__xludf.DUMMYFUNCTION("""COMPUTED_VALUE"""),"Lỗi bptt")</f>
        <v>Lỗi bptt</v>
      </c>
      <c r="H103" s="46"/>
      <c r="I103" s="46" t="str">
        <f>IFERROR(__xludf.DUMMYFUNCTION("""COMPUTED_VALUE"""),"Bảo trì")</f>
        <v>Bảo trì</v>
      </c>
      <c r="J103" s="46"/>
      <c r="K103" s="46"/>
      <c r="L103" s="46"/>
      <c r="M103" s="46"/>
      <c r="N103" s="46"/>
      <c r="O103" s="46"/>
      <c r="P103" s="46"/>
      <c r="Q103" s="46" t="str">
        <f>IFERROR(__xludf.DUMMYFUNCTION("""COMPUTED_VALUE"""),"Hoàn thành")</f>
        <v>Hoàn thành</v>
      </c>
      <c r="R103" s="46"/>
      <c r="S103" s="46"/>
      <c r="T103" s="46"/>
      <c r="U103" s="46"/>
      <c r="V103" s="46"/>
      <c r="W103" s="46"/>
      <c r="X103" s="46"/>
      <c r="Y103" s="46"/>
      <c r="Z103" s="46"/>
      <c r="AA103" s="46"/>
    </row>
    <row r="104">
      <c r="A104" s="55">
        <f>IFERROR(__xludf.DUMMYFUNCTION("""COMPUTED_VALUE"""),44278.61774472222)</f>
        <v>44278.61774</v>
      </c>
      <c r="B104" s="56">
        <f>IFERROR(__xludf.DUMMYFUNCTION("""COMPUTED_VALUE"""),44278.0)</f>
        <v>44278</v>
      </c>
      <c r="C104" s="59" t="str">
        <f t="shared" si="3"/>
        <v/>
      </c>
      <c r="D104" s="46" t="str">
        <f>IFERROR(__xludf.DUMMYFUNCTION("""COMPUTED_VALUE"""),"Duclb")</f>
        <v>Duclb</v>
      </c>
      <c r="E104" s="57" t="str">
        <f>IFERROR(__xludf.DUMMYFUNCTION("""COMPUTED_VALUE"""),"5310106969")</f>
        <v>5310106969</v>
      </c>
      <c r="F104" s="46" t="str">
        <f>IFERROR(__xludf.DUMMYFUNCTION("""COMPUTED_VALUE"""),"Trụ sở UBND xã Hương Sơn (ngã tư Đục Khê, Hương Sơn, Mỹ Đức, Hà Nội)")</f>
        <v>Trụ sở UBND xã Hương Sơn (ngã tư Đục Khê, Hương Sơn, Mỹ Đức, Hà Nội)</v>
      </c>
      <c r="G104" s="46" t="str">
        <f>IFERROR(__xludf.DUMMYFUNCTION("""COMPUTED_VALUE"""),"Bảo trì")</f>
        <v>Bảo trì</v>
      </c>
      <c r="H104" s="46"/>
      <c r="I104" s="46" t="str">
        <f>IFERROR(__xludf.DUMMYFUNCTION("""COMPUTED_VALUE"""),"Bảo trì")</f>
        <v>Bảo trì</v>
      </c>
      <c r="J104" s="46"/>
      <c r="K104" s="46"/>
      <c r="L104" s="46"/>
      <c r="M104" s="46"/>
      <c r="N104" s="46"/>
      <c r="O104" s="46"/>
      <c r="P104" s="46"/>
      <c r="Q104" s="46" t="str">
        <f>IFERROR(__xludf.DUMMYFUNCTION("""COMPUTED_VALUE"""),"Hoàn thành")</f>
        <v>Hoàn thành</v>
      </c>
      <c r="R104" s="46"/>
      <c r="S104" s="46"/>
      <c r="T104" s="46"/>
      <c r="U104" s="46"/>
      <c r="V104" s="46"/>
      <c r="W104" s="46"/>
      <c r="X104" s="46"/>
      <c r="Y104" s="46"/>
      <c r="Z104" s="46"/>
      <c r="AA104" s="46"/>
    </row>
    <row r="105">
      <c r="A105" s="55">
        <f>IFERROR(__xludf.DUMMYFUNCTION("""COMPUTED_VALUE"""),44278.63567307871)</f>
        <v>44278.63567</v>
      </c>
      <c r="B105" s="56">
        <f>IFERROR(__xludf.DUMMYFUNCTION("""COMPUTED_VALUE"""),44277.0)</f>
        <v>44277</v>
      </c>
      <c r="C105" s="59" t="str">
        <f t="shared" si="3"/>
        <v/>
      </c>
      <c r="D105" s="46" t="str">
        <f>IFERROR(__xludf.DUMMYFUNCTION("""COMPUTED_VALUE"""),"tienvm")</f>
        <v>tienvm</v>
      </c>
      <c r="E105" s="57" t="str">
        <f>IFERROR(__xludf.DUMMYFUNCTION("""COMPUTED_VALUE"""),"5310106099")</f>
        <v>5310106099</v>
      </c>
      <c r="F105" s="46" t="str">
        <f>IFERROR(__xludf.DUMMYFUNCTION("""COMPUTED_VALUE"""),"Tổ 2 thị trấn Cẩm Thủy, huyện Cẩm Thủy, Thanh Hóa")</f>
        <v>Tổ 2 thị trấn Cẩm Thủy, huyện Cẩm Thủy, Thanh Hóa</v>
      </c>
      <c r="G105" s="46" t="str">
        <f>IFERROR(__xludf.DUMMYFUNCTION("""COMPUTED_VALUE"""),"Tiền loại nhiều &amp; bảo trì")</f>
        <v>Tiền loại nhiều &amp; bảo trì</v>
      </c>
      <c r="H105" s="46"/>
      <c r="I105" s="46" t="str">
        <f>IFERROR(__xludf.DUMMYFUNCTION("""COMPUTED_VALUE"""),"Bảo trì")</f>
        <v>Bảo trì</v>
      </c>
      <c r="J105" s="46" t="str">
        <f>IFERROR(__xludf.DUMMYFUNCTION("""COMPUTED_VALUE"""),"Kiểm tra, bảo trì toàn bộ máy; căn chỉnh lại gap tầng 2 của Ex1")</f>
        <v>Kiểm tra, bảo trì toàn bộ máy; căn chỉnh lại gap tầng 2 của Ex1</v>
      </c>
      <c r="K105" s="46"/>
      <c r="L105" s="46"/>
      <c r="M105" s="46"/>
      <c r="N105" s="46"/>
      <c r="O105" s="46"/>
      <c r="P105" s="46"/>
      <c r="Q105" s="46" t="str">
        <f>IFERROR(__xludf.DUMMYFUNCTION("""COMPUTED_VALUE"""),"Hoàn thành")</f>
        <v>Hoàn thành</v>
      </c>
      <c r="R105" s="46"/>
      <c r="S105" s="46"/>
      <c r="T105" s="46"/>
      <c r="U105" s="46"/>
      <c r="V105" s="46"/>
      <c r="W105" s="46"/>
      <c r="X105" s="46"/>
      <c r="Y105" s="46"/>
      <c r="Z105" s="46"/>
      <c r="AA105" s="46"/>
    </row>
    <row r="106">
      <c r="A106" s="55">
        <f>IFERROR(__xludf.DUMMYFUNCTION("""COMPUTED_VALUE"""),44278.999229548615)</f>
        <v>44278.99923</v>
      </c>
      <c r="B106" s="56">
        <f>IFERROR(__xludf.DUMMYFUNCTION("""COMPUTED_VALUE"""),44270.0)</f>
        <v>44270</v>
      </c>
      <c r="C106" s="59" t="str">
        <f t="shared" si="3"/>
        <v>Báo cáo muộn</v>
      </c>
      <c r="D106" s="46" t="str">
        <f>IFERROR(__xludf.DUMMYFUNCTION("""COMPUTED_VALUE"""),"thangnx")</f>
        <v>thangnx</v>
      </c>
      <c r="E106" s="57" t="str">
        <f>IFERROR(__xludf.DUMMYFUNCTION("""COMPUTED_VALUE"""),"5310105317")</f>
        <v>5310105317</v>
      </c>
      <c r="F106" s="46" t="str">
        <f>IFERROR(__xludf.DUMMYFUNCTION("""COMPUTED_VALUE"""),"Thôn Du La, xã Cẩm Chế, huyện Thanh Hà, Hải Dương")</f>
        <v>Thôn Du La, xã Cẩm Chế, huyện Thanh Hà, Hải Dương</v>
      </c>
      <c r="G106" s="46" t="str">
        <f>IFERROR(__xludf.DUMMYFUNCTION("""COMPUTED_VALUE"""),"Bảo trì")</f>
        <v>Bảo trì</v>
      </c>
      <c r="H106" s="46"/>
      <c r="I106" s="46" t="str">
        <f>IFERROR(__xludf.DUMMYFUNCTION("""COMPUTED_VALUE"""),"Bảo trì")</f>
        <v>Bảo trì</v>
      </c>
      <c r="J106" s="46"/>
      <c r="K106" s="46"/>
      <c r="L106" s="46"/>
      <c r="M106" s="46"/>
      <c r="N106" s="46"/>
      <c r="O106" s="46"/>
      <c r="P106" s="46"/>
      <c r="Q106" s="46" t="str">
        <f>IFERROR(__xludf.DUMMYFUNCTION("""COMPUTED_VALUE"""),"Hoàn thành")</f>
        <v>Hoàn thành</v>
      </c>
      <c r="R106" s="46"/>
      <c r="S106" s="46"/>
      <c r="T106" s="46"/>
      <c r="U106" s="46"/>
      <c r="V106" s="46"/>
      <c r="W106" s="46"/>
      <c r="X106" s="46"/>
      <c r="Y106" s="46"/>
      <c r="Z106" s="46"/>
      <c r="AA106" s="46"/>
    </row>
    <row r="107">
      <c r="A107" s="55">
        <f>IFERROR(__xludf.DUMMYFUNCTION("""COMPUTED_VALUE"""),44278.99973568287)</f>
        <v>44278.99974</v>
      </c>
      <c r="B107" s="56">
        <f>IFERROR(__xludf.DUMMYFUNCTION("""COMPUTED_VALUE"""),44271.0)</f>
        <v>44271</v>
      </c>
      <c r="C107" s="59" t="str">
        <f t="shared" si="3"/>
        <v>Báo cáo muộn</v>
      </c>
      <c r="D107" s="46" t="str">
        <f>IFERROR(__xludf.DUMMYFUNCTION("""COMPUTED_VALUE"""),"thangnx")</f>
        <v>thangnx</v>
      </c>
      <c r="E107" s="57" t="str">
        <f>IFERROR(__xludf.DUMMYFUNCTION("""COMPUTED_VALUE"""),"5300380520")</f>
        <v>5300380520</v>
      </c>
      <c r="F107" s="46" t="str">
        <f>IFERROR(__xludf.DUMMYFUNCTION("""COMPUTED_VALUE"""),"Trụ sở NHNo Tiên Yên, 2C phố Hoà Bình, thị trấn Tiên Yên, Quảng Ninh")</f>
        <v>Trụ sở NHNo Tiên Yên, 2C phố Hoà Bình, thị trấn Tiên Yên, Quảng Ninh</v>
      </c>
      <c r="G107" s="46" t="str">
        <f>IFERROR(__xludf.DUMMYFUNCTION("""COMPUTED_VALUE"""),"Bảo trì")</f>
        <v>Bảo trì</v>
      </c>
      <c r="H107" s="46"/>
      <c r="I107" s="46" t="str">
        <f>IFERROR(__xludf.DUMMYFUNCTION("""COMPUTED_VALUE"""),"Bảo trì")</f>
        <v>Bảo trì</v>
      </c>
      <c r="J107" s="46"/>
      <c r="K107" s="46"/>
      <c r="L107" s="46"/>
      <c r="M107" s="46"/>
      <c r="N107" s="46"/>
      <c r="O107" s="46"/>
      <c r="P107" s="46"/>
      <c r="Q107" s="46" t="str">
        <f>IFERROR(__xludf.DUMMYFUNCTION("""COMPUTED_VALUE"""),"Hoàn thành")</f>
        <v>Hoàn thành</v>
      </c>
      <c r="R107" s="46"/>
      <c r="S107" s="46"/>
      <c r="T107" s="46"/>
      <c r="U107" s="46"/>
      <c r="V107" s="46"/>
      <c r="W107" s="46"/>
      <c r="X107" s="46"/>
      <c r="Y107" s="46"/>
      <c r="Z107" s="46"/>
      <c r="AA107" s="46"/>
    </row>
    <row r="108">
      <c r="A108" s="55">
        <f>IFERROR(__xludf.DUMMYFUNCTION("""COMPUTED_VALUE"""),44279.00005325231)</f>
        <v>44279.00005</v>
      </c>
      <c r="B108" s="56">
        <f>IFERROR(__xludf.DUMMYFUNCTION("""COMPUTED_VALUE"""),44272.0)</f>
        <v>44272</v>
      </c>
      <c r="C108" s="59" t="str">
        <f t="shared" si="3"/>
        <v>Báo cáo muộn</v>
      </c>
      <c r="D108" s="46" t="str">
        <f>IFERROR(__xludf.DUMMYFUNCTION("""COMPUTED_VALUE"""),"thangnx")</f>
        <v>thangnx</v>
      </c>
      <c r="E108" s="57" t="str">
        <f>IFERROR(__xludf.DUMMYFUNCTION("""COMPUTED_VALUE"""),"5300380271")</f>
        <v>5300380271</v>
      </c>
      <c r="F108" s="46" t="str">
        <f>IFERROR(__xludf.DUMMYFUNCTION("""COMPUTED_VALUE"""),"Tiểu khu 2 - Thị trấn Thắng - H. Hiệp Hòa - Bắc Giang")</f>
        <v>Tiểu khu 2 - Thị trấn Thắng - H. Hiệp Hòa - Bắc Giang</v>
      </c>
      <c r="G108" s="46" t="str">
        <f>IFERROR(__xludf.DUMMYFUNCTION("""COMPUTED_VALUE"""),"Bảo trì")</f>
        <v>Bảo trì</v>
      </c>
      <c r="H108" s="46"/>
      <c r="I108" s="46" t="str">
        <f>IFERROR(__xludf.DUMMYFUNCTION("""COMPUTED_VALUE"""),"Bảo trì")</f>
        <v>Bảo trì</v>
      </c>
      <c r="J108" s="46"/>
      <c r="K108" s="46"/>
      <c r="L108" s="46"/>
      <c r="M108" s="46"/>
      <c r="N108" s="46"/>
      <c r="O108" s="46"/>
      <c r="P108" s="46"/>
      <c r="Q108" s="46" t="str">
        <f>IFERROR(__xludf.DUMMYFUNCTION("""COMPUTED_VALUE"""),"Hoàn thành")</f>
        <v>Hoàn thành</v>
      </c>
      <c r="R108" s="46"/>
      <c r="S108" s="46"/>
      <c r="T108" s="46"/>
      <c r="U108" s="46"/>
      <c r="V108" s="46"/>
      <c r="W108" s="46"/>
      <c r="X108" s="46"/>
      <c r="Y108" s="46"/>
      <c r="Z108" s="46"/>
      <c r="AA108" s="46"/>
    </row>
    <row r="109">
      <c r="A109" s="55">
        <f>IFERROR(__xludf.DUMMYFUNCTION("""COMPUTED_VALUE"""),44279.00025891204)</f>
        <v>44279.00026</v>
      </c>
      <c r="B109" s="56">
        <f>IFERROR(__xludf.DUMMYFUNCTION("""COMPUTED_VALUE"""),44273.0)</f>
        <v>44273</v>
      </c>
      <c r="C109" s="59" t="str">
        <f t="shared" si="3"/>
        <v>Báo cáo muộn</v>
      </c>
      <c r="D109" s="46" t="str">
        <f>IFERROR(__xludf.DUMMYFUNCTION("""COMPUTED_VALUE"""),"thangnx")</f>
        <v>thangnx</v>
      </c>
      <c r="E109" s="57" t="str">
        <f>IFERROR(__xludf.DUMMYFUNCTION("""COMPUTED_VALUE"""),"5300378321")</f>
        <v>5300378321</v>
      </c>
      <c r="F109" s="46" t="str">
        <f>IFERROR(__xludf.DUMMYFUNCTION("""COMPUTED_VALUE"""),"Thôn Đại Bái - Xã Đại Thịnh - Mê Linh - Hà Nội")</f>
        <v>Thôn Đại Bái - Xã Đại Thịnh - Mê Linh - Hà Nội</v>
      </c>
      <c r="G109" s="46" t="str">
        <f>IFERROR(__xludf.DUMMYFUNCTION("""COMPUTED_VALUE"""),"Bảo trì")</f>
        <v>Bảo trì</v>
      </c>
      <c r="H109" s="46"/>
      <c r="I109" s="46" t="str">
        <f>IFERROR(__xludf.DUMMYFUNCTION("""COMPUTED_VALUE"""),"Bảo trì")</f>
        <v>Bảo trì</v>
      </c>
      <c r="J109" s="46"/>
      <c r="K109" s="46"/>
      <c r="L109" s="46"/>
      <c r="M109" s="46"/>
      <c r="N109" s="46"/>
      <c r="O109" s="46"/>
      <c r="P109" s="46"/>
      <c r="Q109" s="46" t="str">
        <f>IFERROR(__xludf.DUMMYFUNCTION("""COMPUTED_VALUE"""),"Hoàn thành")</f>
        <v>Hoàn thành</v>
      </c>
      <c r="R109" s="46"/>
      <c r="S109" s="46"/>
      <c r="T109" s="46"/>
      <c r="U109" s="46"/>
      <c r="V109" s="46"/>
      <c r="W109" s="46"/>
      <c r="X109" s="46"/>
      <c r="Y109" s="46"/>
      <c r="Z109" s="46"/>
      <c r="AA109" s="46"/>
    </row>
    <row r="110">
      <c r="A110" s="55">
        <f>IFERROR(__xludf.DUMMYFUNCTION("""COMPUTED_VALUE"""),44279.001181597225)</f>
        <v>44279.00118</v>
      </c>
      <c r="B110" s="56">
        <f>IFERROR(__xludf.DUMMYFUNCTION("""COMPUTED_VALUE"""),44277.0)</f>
        <v>44277</v>
      </c>
      <c r="C110" s="59" t="str">
        <f t="shared" si="3"/>
        <v>Báo cáo muộn</v>
      </c>
      <c r="D110" s="46" t="str">
        <f>IFERROR(__xludf.DUMMYFUNCTION("""COMPUTED_VALUE"""),"thangnx")</f>
        <v>thangnx</v>
      </c>
      <c r="E110" s="57" t="str">
        <f>IFERROR(__xludf.DUMMYFUNCTION("""COMPUTED_VALUE"""),"5310107015")</f>
        <v>5310107015</v>
      </c>
      <c r="F110" s="46" t="str">
        <f>IFERROR(__xludf.DUMMYFUNCTION("""COMPUTED_VALUE"""),"NHNN Yên Lạc, TT Yên Lạc, H. Yên Lạc, T. Vĩnh Phúc")</f>
        <v>NHNN Yên Lạc, TT Yên Lạc, H. Yên Lạc, T. Vĩnh Phúc</v>
      </c>
      <c r="G110" s="46" t="str">
        <f>IFERROR(__xludf.DUMMYFUNCTION("""COMPUTED_VALUE"""),"Lỗi 2-2")</f>
        <v>Lỗi 2-2</v>
      </c>
      <c r="H110" s="46"/>
      <c r="I110" s="46"/>
      <c r="J110" s="46" t="str">
        <f>IFERROR(__xludf.DUMMYFUNCTION("""COMPUTED_VALUE"""),"Lệch dây curoa, chỉnh lại dây cuaroa")</f>
        <v>Lệch dây curoa, chỉnh lại dây cuaroa</v>
      </c>
      <c r="K110" s="46"/>
      <c r="L110" s="46"/>
      <c r="M110" s="46"/>
      <c r="N110" s="46"/>
      <c r="O110" s="46"/>
      <c r="P110" s="46"/>
      <c r="Q110" s="46" t="str">
        <f>IFERROR(__xludf.DUMMYFUNCTION("""COMPUTED_VALUE"""),"Hoàn thành")</f>
        <v>Hoàn thành</v>
      </c>
      <c r="R110" s="46"/>
      <c r="S110" s="46"/>
      <c r="T110" s="46"/>
      <c r="U110" s="46"/>
      <c r="V110" s="46"/>
      <c r="W110" s="46"/>
      <c r="X110" s="46"/>
      <c r="Y110" s="46"/>
      <c r="Z110" s="46"/>
      <c r="AA110" s="46"/>
    </row>
    <row r="111">
      <c r="A111" s="55">
        <f>IFERROR(__xludf.DUMMYFUNCTION("""COMPUTED_VALUE"""),44279.00140417824)</f>
        <v>44279.0014</v>
      </c>
      <c r="B111" s="56">
        <f>IFERROR(__xludf.DUMMYFUNCTION("""COMPUTED_VALUE"""),44277.0)</f>
        <v>44277</v>
      </c>
      <c r="C111" s="59" t="str">
        <f t="shared" si="3"/>
        <v>Báo cáo muộn</v>
      </c>
      <c r="D111" s="46" t="str">
        <f>IFERROR(__xludf.DUMMYFUNCTION("""COMPUTED_VALUE"""),"thangnx")</f>
        <v>thangnx</v>
      </c>
      <c r="E111" s="57" t="str">
        <f>IFERROR(__xludf.DUMMYFUNCTION("""COMPUTED_VALUE"""),"5300378911")</f>
        <v>5300378911</v>
      </c>
      <c r="F111" s="46" t="str">
        <f>IFERROR(__xludf.DUMMYFUNCTION("""COMPUTED_VALUE"""),"Thị trấn Ân Thi - H. Ân Thi - Hưng Yên")</f>
        <v>Thị trấn Ân Thi - H. Ân Thi - Hưng Yên</v>
      </c>
      <c r="G111" s="46" t="str">
        <f>IFERROR(__xludf.DUMMYFUNCTION("""COMPUTED_VALUE"""),"Bảo trì")</f>
        <v>Bảo trì</v>
      </c>
      <c r="H111" s="46"/>
      <c r="I111" s="46" t="str">
        <f>IFERROR(__xludf.DUMMYFUNCTION("""COMPUTED_VALUE"""),"Bảo trì")</f>
        <v>Bảo trì</v>
      </c>
      <c r="J111" s="46"/>
      <c r="K111" s="46"/>
      <c r="L111" s="46"/>
      <c r="M111" s="46"/>
      <c r="N111" s="46"/>
      <c r="O111" s="46"/>
      <c r="P111" s="46"/>
      <c r="Q111" s="46" t="str">
        <f>IFERROR(__xludf.DUMMYFUNCTION("""COMPUTED_VALUE"""),"Hoàn thành")</f>
        <v>Hoàn thành</v>
      </c>
      <c r="R111" s="46"/>
      <c r="S111" s="46"/>
      <c r="T111" s="46"/>
      <c r="U111" s="46"/>
      <c r="V111" s="46"/>
      <c r="W111" s="46"/>
      <c r="X111" s="46"/>
      <c r="Y111" s="46"/>
      <c r="Z111" s="46"/>
      <c r="AA111" s="46"/>
    </row>
    <row r="112">
      <c r="A112" s="55">
        <f>IFERROR(__xludf.DUMMYFUNCTION("""COMPUTED_VALUE"""),44279.00158258102)</f>
        <v>44279.00158</v>
      </c>
      <c r="B112" s="56">
        <f>IFERROR(__xludf.DUMMYFUNCTION("""COMPUTED_VALUE"""),44277.0)</f>
        <v>44277</v>
      </c>
      <c r="C112" s="59" t="str">
        <f t="shared" si="3"/>
        <v>Báo cáo muộn</v>
      </c>
      <c r="D112" s="46" t="str">
        <f>IFERROR(__xludf.DUMMYFUNCTION("""COMPUTED_VALUE"""),"thangnx")</f>
        <v>thangnx</v>
      </c>
      <c r="E112" s="57" t="str">
        <f>IFERROR(__xludf.DUMMYFUNCTION("""COMPUTED_VALUE"""),"56HGL03537")</f>
        <v>56HGL03537</v>
      </c>
      <c r="F112" s="46" t="str">
        <f>IFERROR(__xludf.DUMMYFUNCTION("""COMPUTED_VALUE"""),"Lô A38-NV16 ô số 11 và ô số 12, Khu đô thị mới hai bên đường Lê Trọng Tấn, xã An Khánh, huyện Hoài Đức, TP Hà Nội")</f>
        <v>Lô A38-NV16 ô số 11 và ô số 12, Khu đô thị mới hai bên đường Lê Trọng Tấn, xã An Khánh, huyện Hoài Đức, TP Hà Nội</v>
      </c>
      <c r="G112" s="46" t="str">
        <f>IFERROR(__xludf.DUMMYFUNCTION("""COMPUTED_VALUE"""),"Bảo trì")</f>
        <v>Bảo trì</v>
      </c>
      <c r="H112" s="46"/>
      <c r="I112" s="46" t="str">
        <f>IFERROR(__xludf.DUMMYFUNCTION("""COMPUTED_VALUE"""),"Bảo trì")</f>
        <v>Bảo trì</v>
      </c>
      <c r="J112" s="46"/>
      <c r="K112" s="46"/>
      <c r="L112" s="46"/>
      <c r="M112" s="46"/>
      <c r="N112" s="46"/>
      <c r="O112" s="46"/>
      <c r="P112" s="46"/>
      <c r="Q112" s="46" t="str">
        <f>IFERROR(__xludf.DUMMYFUNCTION("""COMPUTED_VALUE"""),"Hoàn thành")</f>
        <v>Hoàn thành</v>
      </c>
      <c r="R112" s="46"/>
      <c r="S112" s="46"/>
      <c r="T112" s="46"/>
      <c r="U112" s="46"/>
      <c r="V112" s="46"/>
      <c r="W112" s="46"/>
      <c r="X112" s="46"/>
      <c r="Y112" s="46"/>
      <c r="Z112" s="46"/>
      <c r="AA112" s="46"/>
    </row>
    <row r="113">
      <c r="A113" s="55">
        <f>IFERROR(__xludf.DUMMYFUNCTION("""COMPUTED_VALUE"""),44279.0018078588)</f>
        <v>44279.00181</v>
      </c>
      <c r="B113" s="56">
        <f>IFERROR(__xludf.DUMMYFUNCTION("""COMPUTED_VALUE"""),44278.0)</f>
        <v>44278</v>
      </c>
      <c r="C113" s="59" t="str">
        <f t="shared" si="3"/>
        <v/>
      </c>
      <c r="D113" s="46" t="str">
        <f>IFERROR(__xludf.DUMMYFUNCTION("""COMPUTED_VALUE"""),"thangnx")</f>
        <v>thangnx</v>
      </c>
      <c r="E113" s="57" t="str">
        <f>IFERROR(__xludf.DUMMYFUNCTION("""COMPUTED_VALUE"""),"5300378595")</f>
        <v>5300378595</v>
      </c>
      <c r="F113" s="46" t="str">
        <f>IFERROR(__xludf.DUMMYFUNCTION("""COMPUTED_VALUE"""),"Số 2 Láng Hạ - Q.Ba Đình - Hà Nội")</f>
        <v>Số 2 Láng Hạ - Q.Ba Đình - Hà Nội</v>
      </c>
      <c r="G113" s="46" t="str">
        <f>IFERROR(__xludf.DUMMYFUNCTION("""COMPUTED_VALUE"""),"Bảo trì")</f>
        <v>Bảo trì</v>
      </c>
      <c r="H113" s="46"/>
      <c r="I113" s="46" t="str">
        <f>IFERROR(__xludf.DUMMYFUNCTION("""COMPUTED_VALUE"""),"Bảo trì")</f>
        <v>Bảo trì</v>
      </c>
      <c r="J113" s="46"/>
      <c r="K113" s="46"/>
      <c r="L113" s="46"/>
      <c r="M113" s="46"/>
      <c r="N113" s="46"/>
      <c r="O113" s="46"/>
      <c r="P113" s="46"/>
      <c r="Q113" s="46" t="str">
        <f>IFERROR(__xludf.DUMMYFUNCTION("""COMPUTED_VALUE"""),"Hoàn thành")</f>
        <v>Hoàn thành</v>
      </c>
      <c r="R113" s="46"/>
      <c r="S113" s="46"/>
      <c r="T113" s="46"/>
      <c r="U113" s="46"/>
      <c r="V113" s="46"/>
      <c r="W113" s="46"/>
      <c r="X113" s="46"/>
      <c r="Y113" s="46"/>
      <c r="Z113" s="46"/>
      <c r="AA113" s="46"/>
    </row>
    <row r="114">
      <c r="A114" s="55">
        <f>IFERROR(__xludf.DUMMYFUNCTION("""COMPUTED_VALUE"""),44279.00202979166)</f>
        <v>44279.00203</v>
      </c>
      <c r="B114" s="56">
        <f>IFERROR(__xludf.DUMMYFUNCTION("""COMPUTED_VALUE"""),44278.0)</f>
        <v>44278</v>
      </c>
      <c r="C114" s="59" t="str">
        <f t="shared" si="3"/>
        <v/>
      </c>
      <c r="D114" s="46" t="str">
        <f>IFERROR(__xludf.DUMMYFUNCTION("""COMPUTED_VALUE"""),"thangnx")</f>
        <v>thangnx</v>
      </c>
      <c r="E114" s="57" t="str">
        <f>IFERROR(__xludf.DUMMYFUNCTION("""COMPUTED_VALUE"""),"5300381701")</f>
        <v>5300381701</v>
      </c>
      <c r="F114" s="46" t="str">
        <f>IFERROR(__xludf.DUMMYFUNCTION("""COMPUTED_VALUE"""),"739 Lạc Long Quân, Tây Hồ, Hà Nội")</f>
        <v>739 Lạc Long Quân, Tây Hồ, Hà Nội</v>
      </c>
      <c r="G114" s="46" t="str">
        <f>IFERROR(__xludf.DUMMYFUNCTION("""COMPUTED_VALUE"""),"Bảo trì")</f>
        <v>Bảo trì</v>
      </c>
      <c r="H114" s="46"/>
      <c r="I114" s="46" t="str">
        <f>IFERROR(__xludf.DUMMYFUNCTION("""COMPUTED_VALUE"""),"Bảo trì")</f>
        <v>Bảo trì</v>
      </c>
      <c r="J114" s="46"/>
      <c r="K114" s="46"/>
      <c r="L114" s="46"/>
      <c r="M114" s="46"/>
      <c r="N114" s="46"/>
      <c r="O114" s="46"/>
      <c r="P114" s="46"/>
      <c r="Q114" s="46" t="str">
        <f>IFERROR(__xludf.DUMMYFUNCTION("""COMPUTED_VALUE"""),"Hoàn thành")</f>
        <v>Hoàn thành</v>
      </c>
      <c r="R114" s="46"/>
      <c r="S114" s="46"/>
      <c r="T114" s="46"/>
      <c r="U114" s="46"/>
      <c r="V114" s="46"/>
      <c r="W114" s="46"/>
      <c r="X114" s="46"/>
      <c r="Y114" s="46"/>
      <c r="Z114" s="46"/>
      <c r="AA114" s="46"/>
    </row>
    <row r="115">
      <c r="A115" s="55">
        <f>IFERROR(__xludf.DUMMYFUNCTION("""COMPUTED_VALUE"""),44281.44732689815)</f>
        <v>44281.44733</v>
      </c>
      <c r="B115" s="56">
        <f>IFERROR(__xludf.DUMMYFUNCTION("""COMPUTED_VALUE"""),44264.0)</f>
        <v>44264</v>
      </c>
      <c r="C115" s="59" t="str">
        <f t="shared" si="3"/>
        <v>Báo cáo muộn</v>
      </c>
      <c r="D115" s="46" t="str">
        <f>IFERROR(__xludf.DUMMYFUNCTION("""COMPUTED_VALUE"""),"hoathv")</f>
        <v>hoathv</v>
      </c>
      <c r="E115" s="57" t="str">
        <f>IFERROR(__xludf.DUMMYFUNCTION("""COMPUTED_VALUE"""),"56HGL00296")</f>
        <v>56HGL00296</v>
      </c>
      <c r="F115" s="46" t="str">
        <f>IFERROR(__xludf.DUMMYFUNCTION("""COMPUTED_VALUE"""),"Trụ sở CN online Võ Chí Công Tầng 1, tòa nhà N01T4 Khu Ngoại giao đoàn, Phường Xuân Tảo, Bắc Từ Liêm, Hà Nội")</f>
        <v>Trụ sở CN online Võ Chí Công Tầng 1, tòa nhà N01T4 Khu Ngoại giao đoàn, Phường Xuân Tảo, Bắc Từ Liêm, Hà Nội</v>
      </c>
      <c r="G115" s="46" t="str">
        <f>IFERROR(__xludf.DUMMYFUNCTION("""COMPUTED_VALUE"""),"Lỗi BPTT")</f>
        <v>Lỗi BPTT</v>
      </c>
      <c r="H115" s="46"/>
      <c r="I115" s="46" t="str">
        <f>IFERROR(__xludf.DUMMYFUNCTION("""COMPUTED_VALUE"""),"Bảo trì")</f>
        <v>Bảo trì</v>
      </c>
      <c r="J115" s="46"/>
      <c r="K115" s="46"/>
      <c r="L115" s="46"/>
      <c r="M115" s="46"/>
      <c r="N115" s="46"/>
      <c r="O115" s="46"/>
      <c r="P115" s="46"/>
      <c r="Q115" s="46" t="str">
        <f>IFERROR(__xludf.DUMMYFUNCTION("""COMPUTED_VALUE"""),"Hoàn thành")</f>
        <v>Hoàn thành</v>
      </c>
      <c r="R115" s="46"/>
      <c r="S115" s="46"/>
      <c r="T115" s="46"/>
      <c r="U115" s="46"/>
      <c r="V115" s="46"/>
      <c r="W115" s="46"/>
      <c r="X115" s="46"/>
      <c r="Y115" s="46"/>
      <c r="Z115" s="46"/>
      <c r="AA115" s="46"/>
    </row>
    <row r="116">
      <c r="A116" s="55">
        <f>IFERROR(__xludf.DUMMYFUNCTION("""COMPUTED_VALUE"""),44281.44759053241)</f>
        <v>44281.44759</v>
      </c>
      <c r="B116" s="56">
        <f>IFERROR(__xludf.DUMMYFUNCTION("""COMPUTED_VALUE"""),44265.0)</f>
        <v>44265</v>
      </c>
      <c r="C116" s="59" t="str">
        <f t="shared" si="3"/>
        <v>Báo cáo muộn</v>
      </c>
      <c r="D116" s="46" t="str">
        <f>IFERROR(__xludf.DUMMYFUNCTION("""COMPUTED_VALUE"""),"hoathv")</f>
        <v>hoathv</v>
      </c>
      <c r="E116" s="57" t="str">
        <f>IFERROR(__xludf.DUMMYFUNCTION("""COMPUTED_VALUE"""),"5300378911")</f>
        <v>5300378911</v>
      </c>
      <c r="F116" s="46" t="str">
        <f>IFERROR(__xludf.DUMMYFUNCTION("""COMPUTED_VALUE"""),"Thị trấn Ân Thi - H. Ân Thi - Hưng Yên")</f>
        <v>Thị trấn Ân Thi - H. Ân Thi - Hưng Yên</v>
      </c>
      <c r="G116" s="46" t="str">
        <f>IFERROR(__xludf.DUMMYFUNCTION("""COMPUTED_VALUE"""),"Lỗi BPTT")</f>
        <v>Lỗi BPTT</v>
      </c>
      <c r="H116" s="46"/>
      <c r="I116" s="46" t="str">
        <f>IFERROR(__xludf.DUMMYFUNCTION("""COMPUTED_VALUE"""),"Bảo trì")</f>
        <v>Bảo trì</v>
      </c>
      <c r="J116" s="46"/>
      <c r="K116" s="46"/>
      <c r="L116" s="46"/>
      <c r="M116" s="46"/>
      <c r="N116" s="46"/>
      <c r="O116" s="46"/>
      <c r="P116" s="46"/>
      <c r="Q116" s="46" t="str">
        <f>IFERROR(__xludf.DUMMYFUNCTION("""COMPUTED_VALUE"""),"Hoàn thành")</f>
        <v>Hoàn thành</v>
      </c>
      <c r="R116" s="46"/>
      <c r="S116" s="46"/>
      <c r="T116" s="46"/>
      <c r="U116" s="46"/>
      <c r="V116" s="46"/>
      <c r="W116" s="46"/>
      <c r="X116" s="46"/>
      <c r="Y116" s="46"/>
      <c r="Z116" s="46"/>
      <c r="AA116" s="46"/>
    </row>
    <row r="117">
      <c r="A117" s="55">
        <f>IFERROR(__xludf.DUMMYFUNCTION("""COMPUTED_VALUE"""),44281.44820810185)</f>
        <v>44281.44821</v>
      </c>
      <c r="B117" s="56">
        <f>IFERROR(__xludf.DUMMYFUNCTION("""COMPUTED_VALUE"""),44266.0)</f>
        <v>44266</v>
      </c>
      <c r="C117" s="59" t="str">
        <f t="shared" si="3"/>
        <v>Báo cáo muộn</v>
      </c>
      <c r="D117" s="46" t="str">
        <f>IFERROR(__xludf.DUMMYFUNCTION("""COMPUTED_VALUE"""),"hoathv")</f>
        <v>hoathv</v>
      </c>
      <c r="E117" s="57" t="str">
        <f>IFERROR(__xludf.DUMMYFUNCTION("""COMPUTED_VALUE"""),"5300378631")</f>
        <v>5300378631</v>
      </c>
      <c r="F117" s="46" t="str">
        <f>IFERROR(__xludf.DUMMYFUNCTION("""COMPUTED_VALUE"""),"Thị trấn Việt Quang, huyện Bắc Quang, Hà Giang")</f>
        <v>Thị trấn Việt Quang, huyện Bắc Quang, Hà Giang</v>
      </c>
      <c r="G117" s="46" t="str">
        <f>IFERROR(__xludf.DUMMYFUNCTION("""COMPUTED_VALUE"""),"Lỗi BPTT")</f>
        <v>Lỗi BPTT</v>
      </c>
      <c r="H117" s="46"/>
      <c r="I117" s="46" t="str">
        <f>IFERROR(__xludf.DUMMYFUNCTION("""COMPUTED_VALUE"""),"Bảo trì")</f>
        <v>Bảo trì</v>
      </c>
      <c r="J117" s="46"/>
      <c r="K117" s="46"/>
      <c r="L117" s="46"/>
      <c r="M117" s="46"/>
      <c r="N117" s="46"/>
      <c r="O117" s="46"/>
      <c r="P117" s="46"/>
      <c r="Q117" s="46" t="str">
        <f>IFERROR(__xludf.DUMMYFUNCTION("""COMPUTED_VALUE"""),"Hoàn thành")</f>
        <v>Hoàn thành</v>
      </c>
      <c r="R117" s="46"/>
      <c r="S117" s="46"/>
      <c r="T117" s="46"/>
      <c r="U117" s="46"/>
      <c r="V117" s="46"/>
      <c r="W117" s="46"/>
      <c r="X117" s="46"/>
      <c r="Y117" s="46"/>
      <c r="Z117" s="46"/>
      <c r="AA117" s="46"/>
    </row>
    <row r="118">
      <c r="A118" s="55">
        <f>IFERROR(__xludf.DUMMYFUNCTION("""COMPUTED_VALUE"""),44281.448507650464)</f>
        <v>44281.44851</v>
      </c>
      <c r="B118" s="56">
        <f>IFERROR(__xludf.DUMMYFUNCTION("""COMPUTED_VALUE"""),44266.0)</f>
        <v>44266</v>
      </c>
      <c r="C118" s="59" t="str">
        <f t="shared" si="3"/>
        <v>Báo cáo muộn</v>
      </c>
      <c r="D118" s="46" t="str">
        <f>IFERROR(__xludf.DUMMYFUNCTION("""COMPUTED_VALUE"""),"hoathv")</f>
        <v>hoathv</v>
      </c>
      <c r="E118" s="57" t="str">
        <f>IFERROR(__xludf.DUMMYFUNCTION("""COMPUTED_VALUE"""),"5310106103")</f>
        <v>5310106103</v>
      </c>
      <c r="F118" s="46" t="str">
        <f>IFERROR(__xludf.DUMMYFUNCTION("""COMPUTED_VALUE"""),"Số 120 đường Trần Hưng Đạo, TP. Hà Giang")</f>
        <v>Số 120 đường Trần Hưng Đạo, TP. Hà Giang</v>
      </c>
      <c r="G118" s="46" t="str">
        <f>IFERROR(__xludf.DUMMYFUNCTION("""COMPUTED_VALUE"""),"Lỗi BPTT")</f>
        <v>Lỗi BPTT</v>
      </c>
      <c r="H118" s="46"/>
      <c r="I118" s="46" t="str">
        <f>IFERROR(__xludf.DUMMYFUNCTION("""COMPUTED_VALUE"""),"Bảo trì")</f>
        <v>Bảo trì</v>
      </c>
      <c r="J118" s="46"/>
      <c r="K118" s="46"/>
      <c r="L118" s="46"/>
      <c r="M118" s="46"/>
      <c r="N118" s="46"/>
      <c r="O118" s="46"/>
      <c r="P118" s="46"/>
      <c r="Q118" s="46" t="str">
        <f>IFERROR(__xludf.DUMMYFUNCTION("""COMPUTED_VALUE"""),"Hoàn thành")</f>
        <v>Hoàn thành</v>
      </c>
      <c r="R118" s="46"/>
      <c r="S118" s="46"/>
      <c r="T118" s="46"/>
      <c r="U118" s="46"/>
      <c r="V118" s="46"/>
      <c r="W118" s="46"/>
      <c r="X118" s="46"/>
      <c r="Y118" s="46"/>
      <c r="Z118" s="46"/>
      <c r="AA118" s="46"/>
    </row>
    <row r="119">
      <c r="A119" s="55">
        <f>IFERROR(__xludf.DUMMYFUNCTION("""COMPUTED_VALUE"""),44281.448796006945)</f>
        <v>44281.4488</v>
      </c>
      <c r="B119" s="56">
        <f>IFERROR(__xludf.DUMMYFUNCTION("""COMPUTED_VALUE"""),44267.0)</f>
        <v>44267</v>
      </c>
      <c r="C119" s="59" t="str">
        <f t="shared" si="3"/>
        <v>Báo cáo muộn</v>
      </c>
      <c r="D119" s="46" t="str">
        <f>IFERROR(__xludf.DUMMYFUNCTION("""COMPUTED_VALUE"""),"hoathv")</f>
        <v>hoathv</v>
      </c>
      <c r="E119" s="57" t="str">
        <f>IFERROR(__xludf.DUMMYFUNCTION("""COMPUTED_VALUE"""),"5310105901")</f>
        <v>5310105901</v>
      </c>
      <c r="F119" s="46" t="str">
        <f>IFERROR(__xludf.DUMMYFUNCTION("""COMPUTED_VALUE"""),"Số 120 đường Trần Hưng Đạo, TP. Hà Giang")</f>
        <v>Số 120 đường Trần Hưng Đạo, TP. Hà Giang</v>
      </c>
      <c r="G119" s="46" t="str">
        <f>IFERROR(__xludf.DUMMYFUNCTION("""COMPUTED_VALUE"""),"Lỗi BPTT")</f>
        <v>Lỗi BPTT</v>
      </c>
      <c r="H119" s="46"/>
      <c r="I119" s="46" t="str">
        <f>IFERROR(__xludf.DUMMYFUNCTION("""COMPUTED_VALUE"""),"Bảo trì")</f>
        <v>Bảo trì</v>
      </c>
      <c r="J119" s="46"/>
      <c r="K119" s="46"/>
      <c r="L119" s="46"/>
      <c r="M119" s="46"/>
      <c r="N119" s="46"/>
      <c r="O119" s="46"/>
      <c r="P119" s="46"/>
      <c r="Q119" s="46" t="str">
        <f>IFERROR(__xludf.DUMMYFUNCTION("""COMPUTED_VALUE"""),"Hoàn thành")</f>
        <v>Hoàn thành</v>
      </c>
      <c r="R119" s="46"/>
      <c r="S119" s="46"/>
      <c r="T119" s="46"/>
      <c r="U119" s="46"/>
      <c r="V119" s="46"/>
      <c r="W119" s="46"/>
      <c r="X119" s="46"/>
      <c r="Y119" s="46"/>
      <c r="Z119" s="46"/>
      <c r="AA119" s="46"/>
    </row>
    <row r="120">
      <c r="A120" s="55">
        <f>IFERROR(__xludf.DUMMYFUNCTION("""COMPUTED_VALUE"""),44281.448978761575)</f>
        <v>44281.44898</v>
      </c>
      <c r="B120" s="56">
        <f>IFERROR(__xludf.DUMMYFUNCTION("""COMPUTED_VALUE"""),44267.0)</f>
        <v>44267</v>
      </c>
      <c r="C120" s="59" t="str">
        <f t="shared" si="3"/>
        <v>Báo cáo muộn</v>
      </c>
      <c r="D120" s="46" t="str">
        <f>IFERROR(__xludf.DUMMYFUNCTION("""COMPUTED_VALUE"""),"hoathv")</f>
        <v>hoathv</v>
      </c>
      <c r="E120" s="57" t="str">
        <f>IFERROR(__xludf.DUMMYFUNCTION("""COMPUTED_VALUE"""),"5300381669")</f>
        <v>5300381669</v>
      </c>
      <c r="F120" s="46" t="str">
        <f>IFERROR(__xludf.DUMMYFUNCTION("""COMPUTED_VALUE"""),"108 đường Trần Phú, Ba Đình, TX. Bỉm Sơn, Thanh Hóa")</f>
        <v>108 đường Trần Phú, Ba Đình, TX. Bỉm Sơn, Thanh Hóa</v>
      </c>
      <c r="G120" s="46" t="str">
        <f>IFERROR(__xludf.DUMMYFUNCTION("""COMPUTED_VALUE"""),"Lỗi BPTT")</f>
        <v>Lỗi BPTT</v>
      </c>
      <c r="H120" s="46"/>
      <c r="I120" s="46" t="str">
        <f>IFERROR(__xludf.DUMMYFUNCTION("""COMPUTED_VALUE"""),"Bảo trì")</f>
        <v>Bảo trì</v>
      </c>
      <c r="J120" s="46"/>
      <c r="K120" s="46"/>
      <c r="L120" s="46"/>
      <c r="M120" s="46"/>
      <c r="N120" s="46"/>
      <c r="O120" s="46"/>
      <c r="P120" s="46"/>
      <c r="Q120" s="46" t="str">
        <f>IFERROR(__xludf.DUMMYFUNCTION("""COMPUTED_VALUE"""),"Hoàn thành")</f>
        <v>Hoàn thành</v>
      </c>
      <c r="R120" s="46"/>
      <c r="S120" s="46"/>
      <c r="T120" s="46"/>
      <c r="U120" s="46"/>
      <c r="V120" s="46"/>
      <c r="W120" s="46"/>
      <c r="X120" s="46"/>
      <c r="Y120" s="46"/>
      <c r="Z120" s="46"/>
      <c r="AA120" s="46"/>
    </row>
    <row r="121">
      <c r="A121" s="55">
        <f>IFERROR(__xludf.DUMMYFUNCTION("""COMPUTED_VALUE"""),44281.449240648144)</f>
        <v>44281.44924</v>
      </c>
      <c r="B121" s="56">
        <f>IFERROR(__xludf.DUMMYFUNCTION("""COMPUTED_VALUE"""),44267.0)</f>
        <v>44267</v>
      </c>
      <c r="C121" s="59" t="str">
        <f t="shared" si="3"/>
        <v>Báo cáo muộn</v>
      </c>
      <c r="D121" s="46" t="str">
        <f>IFERROR(__xludf.DUMMYFUNCTION("""COMPUTED_VALUE"""),"hoathv")</f>
        <v>hoathv</v>
      </c>
      <c r="E121" s="57" t="str">
        <f>IFERROR(__xludf.DUMMYFUNCTION("""COMPUTED_VALUE"""),"5300381666")</f>
        <v>5300381666</v>
      </c>
      <c r="F121" s="46" t="str">
        <f>IFERROR(__xludf.DUMMYFUNCTION("""COMPUTED_VALUE"""),"Thị trấn Hoà Thuận, huyện Quảng Hoà, Cao Bằng")</f>
        <v>Thị trấn Hoà Thuận, huyện Quảng Hoà, Cao Bằng</v>
      </c>
      <c r="G121" s="46" t="str">
        <f>IFERROR(__xludf.DUMMYFUNCTION("""COMPUTED_VALUE"""),"Lỗi BPTT")</f>
        <v>Lỗi BPTT</v>
      </c>
      <c r="H121" s="46"/>
      <c r="I121" s="46" t="str">
        <f>IFERROR(__xludf.DUMMYFUNCTION("""COMPUTED_VALUE"""),"Bảo trì")</f>
        <v>Bảo trì</v>
      </c>
      <c r="J121" s="46"/>
      <c r="K121" s="46" t="str">
        <f>IFERROR(__xludf.DUMMYFUNCTION("""COMPUTED_VALUE"""),"01 Presentor")</f>
        <v>01 Presentor</v>
      </c>
      <c r="L121" s="46"/>
      <c r="M121" s="46"/>
      <c r="N121" s="46"/>
      <c r="O121" s="46"/>
      <c r="P121" s="46"/>
      <c r="Q121" s="46" t="str">
        <f>IFERROR(__xludf.DUMMYFUNCTION("""COMPUTED_VALUE"""),"Hoàn thành")</f>
        <v>Hoàn thành</v>
      </c>
      <c r="R121" s="46"/>
      <c r="S121" s="46"/>
      <c r="T121" s="46"/>
      <c r="U121" s="46"/>
      <c r="V121" s="46"/>
      <c r="W121" s="46"/>
      <c r="X121" s="46"/>
      <c r="Y121" s="46"/>
      <c r="Z121" s="46"/>
      <c r="AA121" s="46"/>
    </row>
    <row r="122">
      <c r="A122" s="55">
        <f>IFERROR(__xludf.DUMMYFUNCTION("""COMPUTED_VALUE"""),44281.44953283565)</f>
        <v>44281.44953</v>
      </c>
      <c r="B122" s="56">
        <f>IFERROR(__xludf.DUMMYFUNCTION("""COMPUTED_VALUE"""),44267.0)</f>
        <v>44267</v>
      </c>
      <c r="C122" s="59" t="str">
        <f t="shared" si="3"/>
        <v>Báo cáo muộn</v>
      </c>
      <c r="D122" s="46" t="str">
        <f>IFERROR(__xludf.DUMMYFUNCTION("""COMPUTED_VALUE"""),"hoathv")</f>
        <v>hoathv</v>
      </c>
      <c r="E122" s="57" t="str">
        <f>IFERROR(__xludf.DUMMYFUNCTION("""COMPUTED_VALUE"""),"5300380461")</f>
        <v>5300380461</v>
      </c>
      <c r="F122" s="46" t="str">
        <f>IFERROR(__xludf.DUMMYFUNCTION("""COMPUTED_VALUE"""),"Thị trấn Sóc Sơn, huyện Sóc Sơn")</f>
        <v>Thị trấn Sóc Sơn, huyện Sóc Sơn</v>
      </c>
      <c r="G122" s="46" t="str">
        <f>IFERROR(__xludf.DUMMYFUNCTION("""COMPUTED_VALUE"""),"Lỗi BPTT")</f>
        <v>Lỗi BPTT</v>
      </c>
      <c r="H122" s="46"/>
      <c r="I122" s="46" t="str">
        <f>IFERROR(__xludf.DUMMYFUNCTION("""COMPUTED_VALUE"""),"Bảo trì")</f>
        <v>Bảo trì</v>
      </c>
      <c r="J122" s="46"/>
      <c r="K122" s="46"/>
      <c r="L122" s="46"/>
      <c r="M122" s="46"/>
      <c r="N122" s="46"/>
      <c r="O122" s="46"/>
      <c r="P122" s="46"/>
      <c r="Q122" s="46" t="str">
        <f>IFERROR(__xludf.DUMMYFUNCTION("""COMPUTED_VALUE"""),"Hoàn thành")</f>
        <v>Hoàn thành</v>
      </c>
      <c r="R122" s="46"/>
      <c r="S122" s="46"/>
      <c r="T122" s="46"/>
      <c r="U122" s="46"/>
      <c r="V122" s="46"/>
      <c r="W122" s="46"/>
      <c r="X122" s="46"/>
      <c r="Y122" s="46"/>
      <c r="Z122" s="46"/>
      <c r="AA122" s="46"/>
    </row>
    <row r="123">
      <c r="A123" s="55">
        <f>IFERROR(__xludf.DUMMYFUNCTION("""COMPUTED_VALUE"""),44281.449764282406)</f>
        <v>44281.44976</v>
      </c>
      <c r="B123" s="56">
        <f>IFERROR(__xludf.DUMMYFUNCTION("""COMPUTED_VALUE"""),44267.0)</f>
        <v>44267</v>
      </c>
      <c r="C123" s="59" t="str">
        <f t="shared" si="3"/>
        <v>Báo cáo muộn</v>
      </c>
      <c r="D123" s="46" t="str">
        <f>IFERROR(__xludf.DUMMYFUNCTION("""COMPUTED_VALUE"""),"hoathv")</f>
        <v>hoathv</v>
      </c>
      <c r="E123" s="57" t="str">
        <f>IFERROR(__xludf.DUMMYFUNCTION("""COMPUTED_VALUE"""),"56HGL00296")</f>
        <v>56HGL00296</v>
      </c>
      <c r="F123" s="46" t="str">
        <f>IFERROR(__xludf.DUMMYFUNCTION("""COMPUTED_VALUE"""),"Trụ sở CN online Võ Chí Công Tầng 1, tòa nhà N01T4 Khu Ngoại giao đoàn, Phường Xuân Tảo, Bắc Từ Liêm, Hà Nội")</f>
        <v>Trụ sở CN online Võ Chí Công Tầng 1, tòa nhà N01T4 Khu Ngoại giao đoàn, Phường Xuân Tảo, Bắc Từ Liêm, Hà Nội</v>
      </c>
      <c r="G123" s="46" t="str">
        <f>IFERROR(__xludf.DUMMYFUNCTION("""COMPUTED_VALUE"""),"Lỗi BPTT")</f>
        <v>Lỗi BPTT</v>
      </c>
      <c r="H123" s="46"/>
      <c r="I123" s="46" t="str">
        <f>IFERROR(__xludf.DUMMYFUNCTION("""COMPUTED_VALUE"""),"Bảo trì")</f>
        <v>Bảo trì</v>
      </c>
      <c r="J123" s="46"/>
      <c r="K123" s="46"/>
      <c r="L123" s="46"/>
      <c r="M123" s="46"/>
      <c r="N123" s="46"/>
      <c r="O123" s="46"/>
      <c r="P123" s="46"/>
      <c r="Q123" s="46" t="str">
        <f>IFERROR(__xludf.DUMMYFUNCTION("""COMPUTED_VALUE"""),"Hoàn thành")</f>
        <v>Hoàn thành</v>
      </c>
      <c r="R123" s="46"/>
      <c r="S123" s="46"/>
      <c r="T123" s="46"/>
      <c r="U123" s="46"/>
      <c r="V123" s="46"/>
      <c r="W123" s="46"/>
      <c r="X123" s="46"/>
      <c r="Y123" s="46"/>
      <c r="Z123" s="46"/>
      <c r="AA123" s="46"/>
    </row>
    <row r="124">
      <c r="A124" s="55">
        <f>IFERROR(__xludf.DUMMYFUNCTION("""COMPUTED_VALUE"""),44281.450083715274)</f>
        <v>44281.45008</v>
      </c>
      <c r="B124" s="56">
        <f>IFERROR(__xludf.DUMMYFUNCTION("""COMPUTED_VALUE"""),44270.0)</f>
        <v>44270</v>
      </c>
      <c r="C124" s="59" t="str">
        <f t="shared" si="3"/>
        <v>Báo cáo muộn</v>
      </c>
      <c r="D124" s="46" t="str">
        <f>IFERROR(__xludf.DUMMYFUNCTION("""COMPUTED_VALUE"""),"hoathv")</f>
        <v>hoathv</v>
      </c>
      <c r="E124" s="57" t="str">
        <f>IFERROR(__xludf.DUMMYFUNCTION("""COMPUTED_VALUE"""),"56HGL03537")</f>
        <v>56HGL03537</v>
      </c>
      <c r="F124" s="46" t="str">
        <f>IFERROR(__xludf.DUMMYFUNCTION("""COMPUTED_VALUE"""),"Lô A38-NV16 ô số 11 và ô số 12, Khu đô thị mới hai bên đường Lê Trọng Tấn, xã An Khánh, huyện Hoài Đức, TP Hà Nội")</f>
        <v>Lô A38-NV16 ô số 11 và ô số 12, Khu đô thị mới hai bên đường Lê Trọng Tấn, xã An Khánh, huyện Hoài Đức, TP Hà Nội</v>
      </c>
      <c r="G124" s="46" t="str">
        <f>IFERROR(__xludf.DUMMYFUNCTION("""COMPUTED_VALUE"""),"Lỗi BPTT")</f>
        <v>Lỗi BPTT</v>
      </c>
      <c r="H124" s="46"/>
      <c r="I124" s="46" t="str">
        <f>IFERROR(__xludf.DUMMYFUNCTION("""COMPUTED_VALUE"""),"Bảo trì")</f>
        <v>Bảo trì</v>
      </c>
      <c r="J124" s="46"/>
      <c r="K124" s="46"/>
      <c r="L124" s="46"/>
      <c r="M124" s="46"/>
      <c r="N124" s="46"/>
      <c r="O124" s="46"/>
      <c r="P124" s="46"/>
      <c r="Q124" s="46" t="str">
        <f>IFERROR(__xludf.DUMMYFUNCTION("""COMPUTED_VALUE"""),"Hoàn thành")</f>
        <v>Hoàn thành</v>
      </c>
      <c r="R124" s="46"/>
      <c r="S124" s="46"/>
      <c r="T124" s="46"/>
      <c r="U124" s="46"/>
      <c r="V124" s="46"/>
      <c r="W124" s="46"/>
      <c r="X124" s="46"/>
      <c r="Y124" s="46"/>
      <c r="Z124" s="46"/>
      <c r="AA124" s="46"/>
    </row>
    <row r="125">
      <c r="A125" s="55">
        <f>IFERROR(__xludf.DUMMYFUNCTION("""COMPUTED_VALUE"""),44281.45030737268)</f>
        <v>44281.45031</v>
      </c>
      <c r="B125" s="56">
        <f>IFERROR(__xludf.DUMMYFUNCTION("""COMPUTED_VALUE"""),44270.0)</f>
        <v>44270</v>
      </c>
      <c r="C125" s="59" t="str">
        <f t="shared" si="3"/>
        <v>Báo cáo muộn</v>
      </c>
      <c r="D125" s="46" t="str">
        <f>IFERROR(__xludf.DUMMYFUNCTION("""COMPUTED_VALUE"""),"hoathv")</f>
        <v>hoathv</v>
      </c>
      <c r="E125" s="57" t="str">
        <f>IFERROR(__xludf.DUMMYFUNCTION("""COMPUTED_VALUE"""),"5300378631")</f>
        <v>5300378631</v>
      </c>
      <c r="F125" s="46" t="str">
        <f>IFERROR(__xludf.DUMMYFUNCTION("""COMPUTED_VALUE"""),"Thị trấn Việt Quang, huyện Bắc Quang, Hà Giang")</f>
        <v>Thị trấn Việt Quang, huyện Bắc Quang, Hà Giang</v>
      </c>
      <c r="G125" s="46" t="str">
        <f>IFERROR(__xludf.DUMMYFUNCTION("""COMPUTED_VALUE"""),"Lỗi BPTT")</f>
        <v>Lỗi BPTT</v>
      </c>
      <c r="H125" s="46"/>
      <c r="I125" s="46" t="str">
        <f>IFERROR(__xludf.DUMMYFUNCTION("""COMPUTED_VALUE"""),"Bảo trì")</f>
        <v>Bảo trì</v>
      </c>
      <c r="J125" s="46"/>
      <c r="K125" s="46"/>
      <c r="L125" s="46"/>
      <c r="M125" s="46"/>
      <c r="N125" s="46"/>
      <c r="O125" s="46"/>
      <c r="P125" s="46"/>
      <c r="Q125" s="46" t="str">
        <f>IFERROR(__xludf.DUMMYFUNCTION("""COMPUTED_VALUE"""),"Hoàn thành")</f>
        <v>Hoàn thành</v>
      </c>
      <c r="R125" s="46"/>
      <c r="S125" s="46"/>
      <c r="T125" s="46"/>
      <c r="U125" s="46"/>
      <c r="V125" s="46"/>
      <c r="W125" s="46"/>
      <c r="X125" s="46"/>
      <c r="Y125" s="46"/>
      <c r="Z125" s="46"/>
      <c r="AA125" s="46"/>
    </row>
    <row r="126">
      <c r="A126" s="55">
        <f>IFERROR(__xludf.DUMMYFUNCTION("""COMPUTED_VALUE"""),44281.450617256945)</f>
        <v>44281.45062</v>
      </c>
      <c r="B126" s="56">
        <f>IFERROR(__xludf.DUMMYFUNCTION("""COMPUTED_VALUE"""),44270.0)</f>
        <v>44270</v>
      </c>
      <c r="C126" s="59" t="str">
        <f t="shared" si="3"/>
        <v>Báo cáo muộn</v>
      </c>
      <c r="D126" s="46" t="str">
        <f>IFERROR(__xludf.DUMMYFUNCTION("""COMPUTED_VALUE"""),"hoathv")</f>
        <v>hoathv</v>
      </c>
      <c r="E126" s="57" t="str">
        <f>IFERROR(__xludf.DUMMYFUNCTION("""COMPUTED_VALUE"""),"5300381788")</f>
        <v>5300381788</v>
      </c>
      <c r="F126" s="46" t="str">
        <f>IFERROR(__xludf.DUMMYFUNCTION("""COMPUTED_VALUE"""),"146 phố Môi, thị trấn Môi, Thanh Hóa")</f>
        <v>146 phố Môi, thị trấn Môi, Thanh Hóa</v>
      </c>
      <c r="G126" s="46" t="str">
        <f>IFERROR(__xludf.DUMMYFUNCTION("""COMPUTED_VALUE"""),"bảo trì")</f>
        <v>bảo trì</v>
      </c>
      <c r="H126" s="46"/>
      <c r="I126" s="46" t="str">
        <f>IFERROR(__xludf.DUMMYFUNCTION("""COMPUTED_VALUE"""),"Bảo trì")</f>
        <v>Bảo trì</v>
      </c>
      <c r="J126" s="46"/>
      <c r="K126" s="46"/>
      <c r="L126" s="46"/>
      <c r="M126" s="46"/>
      <c r="N126" s="46"/>
      <c r="O126" s="46"/>
      <c r="P126" s="46"/>
      <c r="Q126" s="46" t="str">
        <f>IFERROR(__xludf.DUMMYFUNCTION("""COMPUTED_VALUE"""),"Hoàn thành")</f>
        <v>Hoàn thành</v>
      </c>
      <c r="R126" s="46"/>
      <c r="S126" s="46"/>
      <c r="T126" s="46"/>
      <c r="U126" s="46"/>
      <c r="V126" s="46"/>
      <c r="W126" s="46"/>
      <c r="X126" s="46"/>
      <c r="Y126" s="46"/>
      <c r="Z126" s="46"/>
      <c r="AA126" s="46"/>
    </row>
    <row r="127">
      <c r="A127" s="55">
        <f>IFERROR(__xludf.DUMMYFUNCTION("""COMPUTED_VALUE"""),44281.45095460648)</f>
        <v>44281.45095</v>
      </c>
      <c r="B127" s="56">
        <f>IFERROR(__xludf.DUMMYFUNCTION("""COMPUTED_VALUE"""),44271.0)</f>
        <v>44271</v>
      </c>
      <c r="C127" s="59" t="str">
        <f t="shared" si="3"/>
        <v>Báo cáo muộn</v>
      </c>
      <c r="D127" s="46" t="str">
        <f>IFERROR(__xludf.DUMMYFUNCTION("""COMPUTED_VALUE"""),"hoathv")</f>
        <v>hoathv</v>
      </c>
      <c r="E127" s="57" t="str">
        <f>IFERROR(__xludf.DUMMYFUNCTION("""COMPUTED_VALUE"""),"5300380271")</f>
        <v>5300380271</v>
      </c>
      <c r="F127" s="46" t="str">
        <f>IFERROR(__xludf.DUMMYFUNCTION("""COMPUTED_VALUE"""),"Tiểu khu 2 - Thị trấn Thắng - H. Hiệp Hòa - Bắc Giang")</f>
        <v>Tiểu khu 2 - Thị trấn Thắng - H. Hiệp Hòa - Bắc Giang</v>
      </c>
      <c r="G127" s="46" t="str">
        <f>IFERROR(__xludf.DUMMYFUNCTION("""COMPUTED_VALUE"""),"Lỗi BPTT")</f>
        <v>Lỗi BPTT</v>
      </c>
      <c r="H127" s="46"/>
      <c r="I127" s="46" t="str">
        <f>IFERROR(__xludf.DUMMYFUNCTION("""COMPUTED_VALUE"""),"Bảo trì")</f>
        <v>Bảo trì</v>
      </c>
      <c r="J127" s="46"/>
      <c r="K127" s="46"/>
      <c r="L127" s="46"/>
      <c r="M127" s="46"/>
      <c r="N127" s="46"/>
      <c r="O127" s="46"/>
      <c r="P127" s="46"/>
      <c r="Q127" s="46" t="str">
        <f>IFERROR(__xludf.DUMMYFUNCTION("""COMPUTED_VALUE"""),"Hoàn thành")</f>
        <v>Hoàn thành</v>
      </c>
      <c r="R127" s="46"/>
      <c r="S127" s="46"/>
      <c r="T127" s="46"/>
      <c r="U127" s="46"/>
      <c r="V127" s="46"/>
      <c r="W127" s="46"/>
      <c r="X127" s="46"/>
      <c r="Y127" s="46"/>
      <c r="Z127" s="46"/>
      <c r="AA127" s="46"/>
    </row>
    <row r="128">
      <c r="A128" s="55">
        <f>IFERROR(__xludf.DUMMYFUNCTION("""COMPUTED_VALUE"""),44281.4515778125)</f>
        <v>44281.45158</v>
      </c>
      <c r="B128" s="56">
        <f>IFERROR(__xludf.DUMMYFUNCTION("""COMPUTED_VALUE"""),44273.0)</f>
        <v>44273</v>
      </c>
      <c r="C128" s="59" t="str">
        <f t="shared" si="3"/>
        <v>Báo cáo muộn</v>
      </c>
      <c r="D128" s="46" t="str">
        <f>IFERROR(__xludf.DUMMYFUNCTION("""COMPUTED_VALUE"""),"hoathv")</f>
        <v>hoathv</v>
      </c>
      <c r="E128" s="57" t="str">
        <f>IFERROR(__xludf.DUMMYFUNCTION("""COMPUTED_VALUE"""),"5310182416")</f>
        <v>5310182416</v>
      </c>
      <c r="F128" s="46" t="str">
        <f>IFERROR(__xludf.DUMMYFUNCTION("""COMPUTED_VALUE"""),"đường Lê Chân, P.Lê Hồng Phong, TP Phủ Lý, tỉnh hà Nam")</f>
        <v>đường Lê Chân, P.Lê Hồng Phong, TP Phủ Lý, tỉnh hà Nam</v>
      </c>
      <c r="G128" s="46" t="str">
        <f>IFERROR(__xludf.DUMMYFUNCTION("""COMPUTED_VALUE"""),"lỗi EPP")</f>
        <v>lỗi EPP</v>
      </c>
      <c r="H128" s="46"/>
      <c r="I128" s="46" t="str">
        <f>IFERROR(__xludf.DUMMYFUNCTION("""COMPUTED_VALUE"""),"Bảo trì")</f>
        <v>Bảo trì</v>
      </c>
      <c r="J128" s="46"/>
      <c r="K128" s="46" t="str">
        <f>IFERROR(__xludf.DUMMYFUNCTION("""COMPUTED_VALUE"""),"01 epp")</f>
        <v>01 epp</v>
      </c>
      <c r="L128" s="46"/>
      <c r="M128" s="46"/>
      <c r="N128" s="46"/>
      <c r="O128" s="46"/>
      <c r="P128" s="46"/>
      <c r="Q128" s="46" t="str">
        <f>IFERROR(__xludf.DUMMYFUNCTION("""COMPUTED_VALUE"""),"Hoàn thành")</f>
        <v>Hoàn thành</v>
      </c>
      <c r="R128" s="46"/>
      <c r="S128" s="46"/>
      <c r="T128" s="46"/>
      <c r="U128" s="46"/>
      <c r="V128" s="46"/>
      <c r="W128" s="46"/>
      <c r="X128" s="46"/>
      <c r="Y128" s="46"/>
      <c r="Z128" s="46"/>
      <c r="AA128" s="46"/>
    </row>
    <row r="129">
      <c r="A129" s="55">
        <f>IFERROR(__xludf.DUMMYFUNCTION("""COMPUTED_VALUE"""),44281.4518628125)</f>
        <v>44281.45186</v>
      </c>
      <c r="B129" s="56">
        <f>IFERROR(__xludf.DUMMYFUNCTION("""COMPUTED_VALUE"""),44277.0)</f>
        <v>44277</v>
      </c>
      <c r="C129" s="59" t="str">
        <f t="shared" si="3"/>
        <v>Báo cáo muộn</v>
      </c>
      <c r="D129" s="46" t="str">
        <f>IFERROR(__xludf.DUMMYFUNCTION("""COMPUTED_VALUE"""),"hoathv")</f>
        <v>hoathv</v>
      </c>
      <c r="E129" s="57" t="str">
        <f>IFERROR(__xludf.DUMMYFUNCTION("""COMPUTED_VALUE"""),"5310181660")</f>
        <v>5310181660</v>
      </c>
      <c r="F129" s="46" t="str">
        <f>IFERROR(__xludf.DUMMYFUNCTION("""COMPUTED_VALUE"""),"đường Lê Chân, P.Lê Hồng Phong, TP Phủ Lý, tỉnh hà Nam")</f>
        <v>đường Lê Chân, P.Lê Hồng Phong, TP Phủ Lý, tỉnh hà Nam</v>
      </c>
      <c r="G129" s="46" t="str">
        <f>IFERROR(__xludf.DUMMYFUNCTION("""COMPUTED_VALUE"""),"Lỗi BPTT")</f>
        <v>Lỗi BPTT</v>
      </c>
      <c r="H129" s="46"/>
      <c r="I129" s="46" t="str">
        <f>IFERROR(__xludf.DUMMYFUNCTION("""COMPUTED_VALUE"""),"Bảo trì")</f>
        <v>Bảo trì</v>
      </c>
      <c r="J129" s="46"/>
      <c r="K129" s="46"/>
      <c r="L129" s="46"/>
      <c r="M129" s="46"/>
      <c r="N129" s="46"/>
      <c r="O129" s="46"/>
      <c r="P129" s="46"/>
      <c r="Q129" s="46" t="str">
        <f>IFERROR(__xludf.DUMMYFUNCTION("""COMPUTED_VALUE"""),"Hoàn thành")</f>
        <v>Hoàn thành</v>
      </c>
      <c r="R129" s="46"/>
      <c r="S129" s="46"/>
      <c r="T129" s="46"/>
      <c r="U129" s="46"/>
      <c r="V129" s="46"/>
      <c r="W129" s="46"/>
      <c r="X129" s="46"/>
      <c r="Y129" s="46"/>
      <c r="Z129" s="46"/>
      <c r="AA129" s="46"/>
    </row>
    <row r="130">
      <c r="A130" s="55">
        <f>IFERROR(__xludf.DUMMYFUNCTION("""COMPUTED_VALUE"""),44281.452077187496)</f>
        <v>44281.45208</v>
      </c>
      <c r="B130" s="56">
        <f>IFERROR(__xludf.DUMMYFUNCTION("""COMPUTED_VALUE"""),44277.0)</f>
        <v>44277</v>
      </c>
      <c r="C130" s="59" t="str">
        <f t="shared" si="3"/>
        <v>Báo cáo muộn</v>
      </c>
      <c r="D130" s="46" t="str">
        <f>IFERROR(__xludf.DUMMYFUNCTION("""COMPUTED_VALUE"""),"hoathv")</f>
        <v>hoathv</v>
      </c>
      <c r="E130" s="57" t="str">
        <f>IFERROR(__xludf.DUMMYFUNCTION("""COMPUTED_VALUE"""),"5310181446")</f>
        <v>5310181446</v>
      </c>
      <c r="F130" s="46" t="str">
        <f>IFERROR(__xludf.DUMMYFUNCTION("""COMPUTED_VALUE"""),"97 đường Nguyễn Văn Trỗi, P.Lương Khánh Thiện, TP.Phủ Lý, tỉnh Hà Nam")</f>
        <v>97 đường Nguyễn Văn Trỗi, P.Lương Khánh Thiện, TP.Phủ Lý, tỉnh Hà Nam</v>
      </c>
      <c r="G130" s="46" t="str">
        <f>IFERROR(__xludf.DUMMYFUNCTION("""COMPUTED_VALUE"""),"Lỗi BPTT")</f>
        <v>Lỗi BPTT</v>
      </c>
      <c r="H130" s="46"/>
      <c r="I130" s="46"/>
      <c r="J130" s="46"/>
      <c r="K130" s="46"/>
      <c r="L130" s="46"/>
      <c r="M130" s="46"/>
      <c r="N130" s="46"/>
      <c r="O130" s="46"/>
      <c r="P130" s="46"/>
      <c r="Q130" s="46" t="str">
        <f>IFERROR(__xludf.DUMMYFUNCTION("""COMPUTED_VALUE"""),"Hoàn thành")</f>
        <v>Hoàn thành</v>
      </c>
      <c r="R130" s="46"/>
      <c r="S130" s="46"/>
      <c r="T130" s="46"/>
      <c r="U130" s="46"/>
      <c r="V130" s="46"/>
      <c r="W130" s="46"/>
      <c r="X130" s="46"/>
      <c r="Y130" s="46"/>
      <c r="Z130" s="46"/>
      <c r="AA130" s="46"/>
    </row>
    <row r="131">
      <c r="A131" s="55">
        <f>IFERROR(__xludf.DUMMYFUNCTION("""COMPUTED_VALUE"""),44281.45224809028)</f>
        <v>44281.45225</v>
      </c>
      <c r="B131" s="56">
        <f>IFERROR(__xludf.DUMMYFUNCTION("""COMPUTED_VALUE"""),44278.0)</f>
        <v>44278</v>
      </c>
      <c r="C131" s="59" t="str">
        <f t="shared" si="3"/>
        <v>Báo cáo muộn</v>
      </c>
      <c r="D131" s="46" t="str">
        <f>IFERROR(__xludf.DUMMYFUNCTION("""COMPUTED_VALUE"""),"hoathv")</f>
        <v>hoathv</v>
      </c>
      <c r="E131" s="57" t="str">
        <f>IFERROR(__xludf.DUMMYFUNCTION("""COMPUTED_VALUE"""),"56HG806313")</f>
        <v>56HG806313</v>
      </c>
      <c r="F131" s="46" t="str">
        <f>IFERROR(__xludf.DUMMYFUNCTION("""COMPUTED_VALUE"""),"355 Trường Chinh, Thanh Xuân, Hà Nội")</f>
        <v>355 Trường Chinh, Thanh Xuân, Hà Nội</v>
      </c>
      <c r="G131" s="46" t="str">
        <f>IFERROR(__xludf.DUMMYFUNCTION("""COMPUTED_VALUE"""),"Lỗi BPTT")</f>
        <v>Lỗi BPTT</v>
      </c>
      <c r="H131" s="46"/>
      <c r="I131" s="46"/>
      <c r="J131" s="46"/>
      <c r="K131" s="46"/>
      <c r="L131" s="46"/>
      <c r="M131" s="46"/>
      <c r="N131" s="46"/>
      <c r="O131" s="46"/>
      <c r="P131" s="46"/>
      <c r="Q131" s="46" t="str">
        <f>IFERROR(__xludf.DUMMYFUNCTION("""COMPUTED_VALUE"""),"Hoàn thành")</f>
        <v>Hoàn thành</v>
      </c>
      <c r="R131" s="46"/>
      <c r="S131" s="46"/>
      <c r="T131" s="46"/>
      <c r="U131" s="46"/>
      <c r="V131" s="46"/>
      <c r="W131" s="46"/>
      <c r="X131" s="46"/>
      <c r="Y131" s="46"/>
      <c r="Z131" s="46"/>
      <c r="AA131" s="46"/>
    </row>
    <row r="132">
      <c r="A132" s="55">
        <f>IFERROR(__xludf.DUMMYFUNCTION("""COMPUTED_VALUE"""),44281.45252546296)</f>
        <v>44281.45253</v>
      </c>
      <c r="B132" s="56">
        <f>IFERROR(__xludf.DUMMYFUNCTION("""COMPUTED_VALUE"""),44279.0)</f>
        <v>44279</v>
      </c>
      <c r="C132" s="59" t="str">
        <f t="shared" si="3"/>
        <v>Báo cáo muộn</v>
      </c>
      <c r="D132" s="46" t="str">
        <f>IFERROR(__xludf.DUMMYFUNCTION("""COMPUTED_VALUE"""),"hoathv")</f>
        <v>hoathv</v>
      </c>
      <c r="E132" s="57" t="str">
        <f>IFERROR(__xludf.DUMMYFUNCTION("""COMPUTED_VALUE"""),"5310105833")</f>
        <v>5310105833</v>
      </c>
      <c r="F132" s="46" t="str">
        <f>IFERROR(__xludf.DUMMYFUNCTION("""COMPUTED_VALUE"""),"Agribank huyện Thanh Miện, số 163 Nguyễn Lương Bằng, thị trấn Thanh Miện, huyện Thanh Miện, Hải Dương")</f>
        <v>Agribank huyện Thanh Miện, số 163 Nguyễn Lương Bằng, thị trấn Thanh Miện, huyện Thanh Miện, Hải Dương</v>
      </c>
      <c r="G132" s="46" t="str">
        <f>IFERROR(__xludf.DUMMYFUNCTION("""COMPUTED_VALUE"""),"Lỗi Đầu đọc thẻ")</f>
        <v>Lỗi Đầu đọc thẻ</v>
      </c>
      <c r="H132" s="46"/>
      <c r="I132" s="46"/>
      <c r="J132" s="46"/>
      <c r="K132" s="46"/>
      <c r="L132" s="46"/>
      <c r="M132" s="46"/>
      <c r="N132" s="46"/>
      <c r="O132" s="46"/>
      <c r="P132" s="46"/>
      <c r="Q132" s="46" t="str">
        <f>IFERROR(__xludf.DUMMYFUNCTION("""COMPUTED_VALUE"""),"Hoàn thành")</f>
        <v>Hoàn thành</v>
      </c>
      <c r="R132" s="46"/>
      <c r="S132" s="46"/>
      <c r="T132" s="46"/>
      <c r="U132" s="46"/>
      <c r="V132" s="46"/>
      <c r="W132" s="46"/>
      <c r="X132" s="46"/>
      <c r="Y132" s="46"/>
      <c r="Z132" s="46"/>
      <c r="AA132" s="46"/>
    </row>
    <row r="133">
      <c r="A133" s="55">
        <f>IFERROR(__xludf.DUMMYFUNCTION("""COMPUTED_VALUE"""),44281.452781458334)</f>
        <v>44281.45278</v>
      </c>
      <c r="B133" s="56">
        <f>IFERROR(__xludf.DUMMYFUNCTION("""COMPUTED_VALUE"""),44279.0)</f>
        <v>44279</v>
      </c>
      <c r="C133" s="59" t="str">
        <f t="shared" si="3"/>
        <v>Báo cáo muộn</v>
      </c>
      <c r="D133" s="46" t="str">
        <f>IFERROR(__xludf.DUMMYFUNCTION("""COMPUTED_VALUE"""),"hoathv")</f>
        <v>hoathv</v>
      </c>
      <c r="E133" s="57" t="str">
        <f>IFERROR(__xludf.DUMMYFUNCTION("""COMPUTED_VALUE"""),"5310182442")</f>
        <v>5310182442</v>
      </c>
      <c r="F133" s="46" t="str">
        <f>IFERROR(__xludf.DUMMYFUNCTION("""COMPUTED_VALUE"""),"Trụ sở Agribank Ba Bể, TT Chợ Rã huyện Ba Bể, tỉnh bắc Kạn")</f>
        <v>Trụ sở Agribank Ba Bể, TT Chợ Rã huyện Ba Bể, tỉnh bắc Kạn</v>
      </c>
      <c r="G133" s="46" t="str">
        <f>IFERROR(__xludf.DUMMYFUNCTION("""COMPUTED_VALUE"""),"bảo trì")</f>
        <v>bảo trì</v>
      </c>
      <c r="H133" s="46"/>
      <c r="I133" s="46" t="str">
        <f>IFERROR(__xludf.DUMMYFUNCTION("""COMPUTED_VALUE"""),"Bảo trì")</f>
        <v>Bảo trì</v>
      </c>
      <c r="J133" s="46"/>
      <c r="K133" s="46"/>
      <c r="L133" s="46"/>
      <c r="M133" s="46"/>
      <c r="N133" s="46"/>
      <c r="O133" s="46"/>
      <c r="P133" s="46"/>
      <c r="Q133" s="46" t="str">
        <f>IFERROR(__xludf.DUMMYFUNCTION("""COMPUTED_VALUE"""),"Hoàn thành")</f>
        <v>Hoàn thành</v>
      </c>
      <c r="R133" s="46"/>
      <c r="S133" s="46"/>
      <c r="T133" s="46"/>
      <c r="U133" s="46"/>
      <c r="V133" s="46"/>
      <c r="W133" s="46"/>
      <c r="X133" s="46"/>
      <c r="Y133" s="46"/>
      <c r="Z133" s="46"/>
      <c r="AA133" s="46"/>
    </row>
    <row r="134">
      <c r="A134" s="55">
        <f>IFERROR(__xludf.DUMMYFUNCTION("""COMPUTED_VALUE"""),44281.453282546296)</f>
        <v>44281.45328</v>
      </c>
      <c r="B134" s="56">
        <f>IFERROR(__xludf.DUMMYFUNCTION("""COMPUTED_VALUE"""),44280.0)</f>
        <v>44280</v>
      </c>
      <c r="C134" s="59" t="str">
        <f t="shared" si="3"/>
        <v/>
      </c>
      <c r="D134" s="46" t="str">
        <f>IFERROR(__xludf.DUMMYFUNCTION("""COMPUTED_VALUE"""),"hoathv")</f>
        <v>hoathv</v>
      </c>
      <c r="E134" s="57" t="str">
        <f>IFERROR(__xludf.DUMMYFUNCTION("""COMPUTED_VALUE"""),"5300380665")</f>
        <v>5300380665</v>
      </c>
      <c r="F134" s="46" t="str">
        <f>IFERROR(__xludf.DUMMYFUNCTION("""COMPUTED_VALUE"""),"Tiểu khu 7 T.trấn Mộc Châu, H. Mộc Châu, Sơn La")</f>
        <v>Tiểu khu 7 T.trấn Mộc Châu, H. Mộc Châu, Sơn La</v>
      </c>
      <c r="G134" s="46" t="str">
        <f>IFERROR(__xludf.DUMMYFUNCTION("""COMPUTED_VALUE"""),"lỗi camera")</f>
        <v>lỗi camera</v>
      </c>
      <c r="H134" s="46"/>
      <c r="I134" s="46" t="str">
        <f>IFERROR(__xludf.DUMMYFUNCTION("""COMPUTED_VALUE"""),"Bảo trì")</f>
        <v>Bảo trì</v>
      </c>
      <c r="J134" s="46"/>
      <c r="K134" s="46"/>
      <c r="L134" s="46"/>
      <c r="M134" s="46"/>
      <c r="N134" s="46"/>
      <c r="O134" s="46"/>
      <c r="P134" s="46"/>
      <c r="Q134" s="46" t="str">
        <f>IFERROR(__xludf.DUMMYFUNCTION("""COMPUTED_VALUE"""),"Hoàn thành")</f>
        <v>Hoàn thành</v>
      </c>
      <c r="R134" s="46"/>
      <c r="S134" s="46"/>
      <c r="T134" s="46"/>
      <c r="U134" s="46"/>
      <c r="V134" s="46"/>
      <c r="W134" s="46"/>
      <c r="X134" s="46"/>
      <c r="Y134" s="46"/>
      <c r="Z134" s="46"/>
      <c r="AA134" s="46"/>
    </row>
    <row r="135">
      <c r="A135" s="55">
        <f>IFERROR(__xludf.DUMMYFUNCTION("""COMPUTED_VALUE"""),44282.616750138885)</f>
        <v>44282.61675</v>
      </c>
      <c r="B135" s="56">
        <f>IFERROR(__xludf.DUMMYFUNCTION("""COMPUTED_VALUE"""),44274.0)</f>
        <v>44274</v>
      </c>
      <c r="C135" s="59" t="str">
        <f t="shared" si="3"/>
        <v>Báo cáo muộn</v>
      </c>
      <c r="D135" s="46" t="str">
        <f>IFERROR(__xludf.DUMMYFUNCTION("""COMPUTED_VALUE"""),"Hieppn")</f>
        <v>Hieppn</v>
      </c>
      <c r="E135" s="57" t="str">
        <f>IFERROR(__xludf.DUMMYFUNCTION("""COMPUTED_VALUE"""),"5310105800")</f>
        <v>5310105800</v>
      </c>
      <c r="F135" s="46" t="str">
        <f>IFERROR(__xludf.DUMMYFUNCTION("""COMPUTED_VALUE"""),"Số 79 Lê Thanh Nghị, thị trấn Nông Trường Mộc Châu, huyện Mộc Châu, Sơn La")</f>
        <v>Số 79 Lê Thanh Nghị, thị trấn Nông Trường Mộc Châu, huyện Mộc Châu, Sơn La</v>
      </c>
      <c r="G135" s="46" t="str">
        <f>IFERROR(__xludf.DUMMYFUNCTION("""COMPUTED_VALUE"""),"lỗi đầu đọc thẻ vag máy in ")</f>
        <v>lỗi đầu đọc thẻ vag máy in </v>
      </c>
      <c r="H135" s="46"/>
      <c r="I135" s="46"/>
      <c r="J135" s="46"/>
      <c r="K135" s="46"/>
      <c r="L135" s="46"/>
      <c r="M135" s="46"/>
      <c r="N135" s="46"/>
      <c r="O135" s="46"/>
      <c r="P135" s="46"/>
      <c r="Q135" s="46" t="str">
        <f>IFERROR(__xludf.DUMMYFUNCTION("""COMPUTED_VALUE"""),"Hoàn thành")</f>
        <v>Hoàn thành</v>
      </c>
      <c r="R135" s="46"/>
      <c r="S135" s="46"/>
      <c r="T135" s="46"/>
      <c r="U135" s="46"/>
      <c r="V135" s="46"/>
      <c r="W135" s="46"/>
      <c r="X135" s="46"/>
      <c r="Y135" s="46"/>
      <c r="Z135" s="46"/>
      <c r="AA135" s="46"/>
    </row>
    <row r="136">
      <c r="A136" s="55">
        <f>IFERROR(__xludf.DUMMYFUNCTION("""COMPUTED_VALUE"""),44282.61738457176)</f>
        <v>44282.61738</v>
      </c>
      <c r="B136" s="56">
        <f>IFERROR(__xludf.DUMMYFUNCTION("""COMPUTED_VALUE"""),44274.0)</f>
        <v>44274</v>
      </c>
      <c r="C136" s="59" t="str">
        <f t="shared" si="3"/>
        <v>Báo cáo muộn</v>
      </c>
      <c r="D136" s="46" t="str">
        <f>IFERROR(__xludf.DUMMYFUNCTION("""COMPUTED_VALUE"""),"Hieppn")</f>
        <v>Hieppn</v>
      </c>
      <c r="E136" s="57" t="str">
        <f>IFERROR(__xludf.DUMMYFUNCTION("""COMPUTED_VALUE"""),"5310181451")</f>
        <v>5310181451</v>
      </c>
      <c r="F136" s="46" t="str">
        <f>IFERROR(__xludf.DUMMYFUNCTION("""COMPUTED_VALUE"""),"Xã Yên Đĩnh, huyện Chợ Mới, tỉnh Bắc Kạn")</f>
        <v>Xã Yên Đĩnh, huyện Chợ Mới, tỉnh Bắc Kạn</v>
      </c>
      <c r="G136" s="46" t="str">
        <f>IFERROR(__xludf.DUMMYFUNCTION("""COMPUTED_VALUE"""),"lỗi đầu đọc thẻ và máy in biên lai ")</f>
        <v>lỗi đầu đọc thẻ và máy in biên lai </v>
      </c>
      <c r="H136" s="46"/>
      <c r="I136" s="46"/>
      <c r="J136" s="46" t="str">
        <f>IFERROR(__xludf.DUMMYFUNCTION("""COMPUTED_VALUE"""),"thay thế và chỉnh lại đầu đọc thẻ ")</f>
        <v>thay thế và chỉnh lại đầu đọc thẻ </v>
      </c>
      <c r="K136" s="46" t="str">
        <f>IFERROR(__xludf.DUMMYFUNCTION("""COMPUTED_VALUE"""),"01 đầu đọc thẻ ")</f>
        <v>01 đầu đọc thẻ </v>
      </c>
      <c r="L136" s="46"/>
      <c r="M136" s="46"/>
      <c r="N136" s="46"/>
      <c r="O136" s="46"/>
      <c r="P136" s="46"/>
      <c r="Q136" s="46" t="str">
        <f>IFERROR(__xludf.DUMMYFUNCTION("""COMPUTED_VALUE"""),"Hoàn thành")</f>
        <v>Hoàn thành</v>
      </c>
      <c r="R136" s="46"/>
      <c r="S136" s="46"/>
      <c r="T136" s="46"/>
      <c r="U136" s="46"/>
      <c r="V136" s="46"/>
      <c r="W136" s="46"/>
      <c r="X136" s="46"/>
      <c r="Y136" s="46"/>
      <c r="Z136" s="46"/>
      <c r="AA136" s="46"/>
    </row>
    <row r="137">
      <c r="A137" s="55">
        <f>IFERROR(__xludf.DUMMYFUNCTION("""COMPUTED_VALUE"""),44282.619796666666)</f>
        <v>44282.6198</v>
      </c>
      <c r="B137" s="56">
        <f>IFERROR(__xludf.DUMMYFUNCTION("""COMPUTED_VALUE"""),44277.0)</f>
        <v>44277</v>
      </c>
      <c r="C137" s="59" t="str">
        <f t="shared" si="3"/>
        <v>Báo cáo muộn</v>
      </c>
      <c r="D137" s="46" t="str">
        <f>IFERROR(__xludf.DUMMYFUNCTION("""COMPUTED_VALUE"""),"hieppn")</f>
        <v>hieppn</v>
      </c>
      <c r="E137" s="57" t="str">
        <f>IFERROR(__xludf.DUMMYFUNCTION("""COMPUTED_VALUE"""),"5310105909")</f>
        <v>5310105909</v>
      </c>
      <c r="F137" s="46" t="str">
        <f>IFERROR(__xludf.DUMMYFUNCTION("""COMPUTED_VALUE"""),"Trụ sở Agribank CN huyện Yên Mỹ, thôn Thư Thị, xã Tân Lập, Huyện Yên Mỹ")</f>
        <v>Trụ sở Agribank CN huyện Yên Mỹ, thôn Thư Thị, xã Tân Lập, Huyện Yên Mỹ</v>
      </c>
      <c r="G137" s="46" t="str">
        <f>IFERROR(__xludf.DUMMYFUNCTION("""COMPUTED_VALUE"""),"lỗi 9-0 và rác nhiều ")</f>
        <v>lỗi 9-0 và rác nhiều </v>
      </c>
      <c r="H137" s="46"/>
      <c r="I137" s="46" t="str">
        <f>IFERROR(__xludf.DUMMYFUNCTION("""COMPUTED_VALUE"""),"Bảo trì")</f>
        <v>Bảo trì</v>
      </c>
      <c r="J137" s="46" t="str">
        <f>IFERROR(__xludf.DUMMYFUNCTION("""COMPUTED_VALUE"""),"thay thế và kết hợp bảo trì ")</f>
        <v>thay thế và kết hợp bảo trì </v>
      </c>
      <c r="K137" s="46" t="str">
        <f>IFERROR(__xludf.DUMMYFUNCTION("""COMPUTED_VALUE"""),"01 presentor")</f>
        <v>01 presentor</v>
      </c>
      <c r="L137" s="46" t="str">
        <f>IFERROR(__xludf.DUMMYFUNCTION("""COMPUTED_VALUE"""),"01 trục miết tiền extractor")</f>
        <v>01 trục miết tiền extractor</v>
      </c>
      <c r="M137" s="46"/>
      <c r="N137" s="46"/>
      <c r="O137" s="46"/>
      <c r="P137" s="46"/>
      <c r="Q137" s="46" t="str">
        <f>IFERROR(__xludf.DUMMYFUNCTION("""COMPUTED_VALUE"""),"Hoàn thành")</f>
        <v>Hoàn thành</v>
      </c>
      <c r="R137" s="46"/>
      <c r="S137" s="46"/>
      <c r="T137" s="46"/>
      <c r="U137" s="46"/>
      <c r="V137" s="46"/>
      <c r="W137" s="46"/>
      <c r="X137" s="46"/>
      <c r="Y137" s="46"/>
      <c r="Z137" s="46"/>
      <c r="AA137" s="46"/>
    </row>
    <row r="138">
      <c r="A138" s="55">
        <f>IFERROR(__xludf.DUMMYFUNCTION("""COMPUTED_VALUE"""),44282.62071737269)</f>
        <v>44282.62072</v>
      </c>
      <c r="B138" s="56">
        <f>IFERROR(__xludf.DUMMYFUNCTION("""COMPUTED_VALUE"""),44277.0)</f>
        <v>44277</v>
      </c>
      <c r="C138" s="59" t="str">
        <f t="shared" si="3"/>
        <v>Báo cáo muộn</v>
      </c>
      <c r="D138" s="46" t="str">
        <f>IFERROR(__xludf.DUMMYFUNCTION("""COMPUTED_VALUE"""),"hieppn")</f>
        <v>hieppn</v>
      </c>
      <c r="E138" s="57" t="str">
        <f>IFERROR(__xludf.DUMMYFUNCTION("""COMPUTED_VALUE"""),"5300381769")</f>
        <v>5300381769</v>
      </c>
      <c r="F138" s="46" t="str">
        <f>IFERROR(__xludf.DUMMYFUNCTION("""COMPUTED_VALUE"""),"NHNo Lục Ngạn, thị trấn Chũ, Lục Ngạn, Bắc Giang")</f>
        <v>NHNo Lục Ngạn, thị trấn Chũ, Lục Ngạn, Bắc Giang</v>
      </c>
      <c r="G138" s="46" t="str">
        <f>IFERROR(__xludf.DUMMYFUNCTION("""COMPUTED_VALUE"""),"Bảo trì định kỳ ")</f>
        <v>Bảo trì định kỳ </v>
      </c>
      <c r="H138" s="46"/>
      <c r="I138" s="46" t="str">
        <f>IFERROR(__xludf.DUMMYFUNCTION("""COMPUTED_VALUE"""),"Bảo trì")</f>
        <v>Bảo trì</v>
      </c>
      <c r="J138" s="46" t="str">
        <f>IFERROR(__xludf.DUMMYFUNCTION("""COMPUTED_VALUE"""),"vệ sinh và bảo trì máy ATM ")</f>
        <v>vệ sinh và bảo trì máy ATM </v>
      </c>
      <c r="K138" s="46"/>
      <c r="L138" s="46"/>
      <c r="M138" s="46"/>
      <c r="N138" s="46"/>
      <c r="O138" s="46"/>
      <c r="P138" s="46"/>
      <c r="Q138" s="46" t="str">
        <f>IFERROR(__xludf.DUMMYFUNCTION("""COMPUTED_VALUE"""),"Hoàn thành")</f>
        <v>Hoàn thành</v>
      </c>
      <c r="R138" s="46"/>
      <c r="S138" s="46"/>
      <c r="T138" s="46"/>
      <c r="U138" s="46"/>
      <c r="V138" s="46"/>
      <c r="W138" s="46"/>
      <c r="X138" s="46"/>
      <c r="Y138" s="46"/>
      <c r="Z138" s="46"/>
      <c r="AA138" s="46"/>
    </row>
    <row r="139">
      <c r="A139" s="55">
        <f>IFERROR(__xludf.DUMMYFUNCTION("""COMPUTED_VALUE"""),44282.62423505787)</f>
        <v>44282.62424</v>
      </c>
      <c r="B139" s="56">
        <f>IFERROR(__xludf.DUMMYFUNCTION("""COMPUTED_VALUE"""),44278.0)</f>
        <v>44278</v>
      </c>
      <c r="C139" s="59" t="str">
        <f t="shared" si="3"/>
        <v>Báo cáo muộn</v>
      </c>
      <c r="D139" s="46" t="str">
        <f>IFERROR(__xludf.DUMMYFUNCTION("""COMPUTED_VALUE"""),"Hieppn")</f>
        <v>Hieppn</v>
      </c>
      <c r="E139" s="57" t="str">
        <f>IFERROR(__xludf.DUMMYFUNCTION("""COMPUTED_VALUE"""),"65HGL03539")</f>
        <v>65HGL03539</v>
      </c>
      <c r="F139" s="46" t="str">
        <f>IFERROR(__xludf.DUMMYFUNCTION("""COMPUTED_VALUE"""),"")</f>
        <v/>
      </c>
      <c r="G139" s="46" t="str">
        <f>IFERROR(__xludf.DUMMYFUNCTION("""COMPUTED_VALUE"""),"rác nhiều kết hợp bảo trì ")</f>
        <v>rác nhiều kết hợp bảo trì </v>
      </c>
      <c r="H139" s="46"/>
      <c r="I139" s="46" t="str">
        <f>IFERROR(__xludf.DUMMYFUNCTION("""COMPUTED_VALUE"""),"Bảo trì")</f>
        <v>Bảo trì</v>
      </c>
      <c r="J139" s="46" t="str">
        <f>IFERROR(__xludf.DUMMYFUNCTION("""COMPUTED_VALUE"""),"vệ sinh vag thay thế ")</f>
        <v>vệ sinh vag thay thế </v>
      </c>
      <c r="K139" s="46" t="str">
        <f>IFERROR(__xludf.DUMMYFUNCTION("""COMPUTED_VALUE"""),"02 dây curoa extractor")</f>
        <v>02 dây curoa extractor</v>
      </c>
      <c r="L139" s="46" t="str">
        <f>IFERROR(__xludf.DUMMYFUNCTION("""COMPUTED_VALUE"""),"02 trục miết tiền extractor")</f>
        <v>02 trục miết tiền extractor</v>
      </c>
      <c r="M139" s="46"/>
      <c r="N139" s="46"/>
      <c r="O139" s="46"/>
      <c r="P139" s="46"/>
      <c r="Q139" s="46" t="str">
        <f>IFERROR(__xludf.DUMMYFUNCTION("""COMPUTED_VALUE"""),"Hoàn thành")</f>
        <v>Hoàn thành</v>
      </c>
      <c r="R139" s="46"/>
      <c r="S139" s="46"/>
      <c r="T139" s="46"/>
      <c r="U139" s="46"/>
      <c r="V139" s="46"/>
      <c r="W139" s="46"/>
      <c r="X139" s="46"/>
      <c r="Y139" s="46"/>
      <c r="Z139" s="46"/>
      <c r="AA139" s="46"/>
    </row>
    <row r="140">
      <c r="A140" s="55">
        <f>IFERROR(__xludf.DUMMYFUNCTION("""COMPUTED_VALUE"""),44282.62697427083)</f>
        <v>44282.62697</v>
      </c>
      <c r="B140" s="56">
        <f>IFERROR(__xludf.DUMMYFUNCTION("""COMPUTED_VALUE"""),44278.0)</f>
        <v>44278</v>
      </c>
      <c r="C140" s="59" t="str">
        <f t="shared" si="3"/>
        <v>Báo cáo muộn</v>
      </c>
      <c r="D140" s="46" t="str">
        <f>IFERROR(__xludf.DUMMYFUNCTION("""COMPUTED_VALUE"""),"hieppn")</f>
        <v>hieppn</v>
      </c>
      <c r="E140" s="57" t="str">
        <f>IFERROR(__xludf.DUMMYFUNCTION("""COMPUTED_VALUE"""),"5300377933")</f>
        <v>5300377933</v>
      </c>
      <c r="F140" s="46" t="str">
        <f>IFERROR(__xludf.DUMMYFUNCTION("""COMPUTED_VALUE"""),"Số 75 Phương Mai, Hà Nội")</f>
        <v>Số 75 Phương Mai, Hà Nội</v>
      </c>
      <c r="G140" s="46" t="str">
        <f>IFERROR(__xludf.DUMMYFUNCTION("""COMPUTED_VALUE"""),"Bảo trì và rác nhiều ")</f>
        <v>Bảo trì và rác nhiều </v>
      </c>
      <c r="H140" s="46"/>
      <c r="I140" s="46" t="str">
        <f>IFERROR(__xludf.DUMMYFUNCTION("""COMPUTED_VALUE"""),"Bảo trì")</f>
        <v>Bảo trì</v>
      </c>
      <c r="J140" s="46" t="str">
        <f>IFERROR(__xludf.DUMMYFUNCTION("""COMPUTED_VALUE"""),"Bảo trì và khắc phục sự cố ")</f>
        <v>Bảo trì và khắc phục sự cố </v>
      </c>
      <c r="K140" s="46" t="str">
        <f>IFERROR(__xludf.DUMMYFUNCTION("""COMPUTED_VALUE"""),"02 dây curoa extractor")</f>
        <v>02 dây curoa extractor</v>
      </c>
      <c r="L140" s="46" t="str">
        <f>IFERROR(__xludf.DUMMYFUNCTION("""COMPUTED_VALUE"""),"01 trục ghép extractor")</f>
        <v>01 trục ghép extractor</v>
      </c>
      <c r="M140" s="46"/>
      <c r="N140" s="46"/>
      <c r="O140" s="46"/>
      <c r="P140" s="46"/>
      <c r="Q140" s="46" t="str">
        <f>IFERROR(__xludf.DUMMYFUNCTION("""COMPUTED_VALUE"""),"Hoàn thành")</f>
        <v>Hoàn thành</v>
      </c>
      <c r="R140" s="46"/>
      <c r="S140" s="46"/>
      <c r="T140" s="46"/>
      <c r="U140" s="46"/>
      <c r="V140" s="46"/>
      <c r="W140" s="46"/>
      <c r="X140" s="46"/>
      <c r="Y140" s="46"/>
      <c r="Z140" s="46"/>
      <c r="AA140" s="46"/>
    </row>
    <row r="141">
      <c r="A141" s="55">
        <f>IFERROR(__xludf.DUMMYFUNCTION("""COMPUTED_VALUE"""),44282.63115519676)</f>
        <v>44282.63116</v>
      </c>
      <c r="B141" s="56">
        <f>IFERROR(__xludf.DUMMYFUNCTION("""COMPUTED_VALUE"""),44279.0)</f>
        <v>44279</v>
      </c>
      <c r="C141" s="59" t="str">
        <f t="shared" si="3"/>
        <v>Báo cáo muộn</v>
      </c>
      <c r="D141" s="46" t="str">
        <f>IFERROR(__xludf.DUMMYFUNCTION("""COMPUTED_VALUE"""),"hieppn")</f>
        <v>hieppn</v>
      </c>
      <c r="E141" s="57" t="str">
        <f>IFERROR(__xludf.DUMMYFUNCTION("""COMPUTED_VALUE"""),"5300378203")</f>
        <v>5300378203</v>
      </c>
      <c r="F141" s="46" t="str">
        <f>IFERROR(__xludf.DUMMYFUNCTION("""COMPUTED_VALUE"""),"PGD Pháp Vân-tầng 1, nơ 7, KĐT Pháp Vân, Tứ Hiệp")</f>
        <v>PGD Pháp Vân-tầng 1, nơ 7, KĐT Pháp Vân, Tứ Hiệp</v>
      </c>
      <c r="G141" s="46" t="str">
        <f>IFERROR(__xludf.DUMMYFUNCTION("""COMPUTED_VALUE"""),"Bảo trì định kỳ ")</f>
        <v>Bảo trì định kỳ </v>
      </c>
      <c r="H141" s="46"/>
      <c r="I141" s="46" t="str">
        <f>IFERROR(__xludf.DUMMYFUNCTION("""COMPUTED_VALUE"""),"Bảo trì")</f>
        <v>Bảo trì</v>
      </c>
      <c r="J141" s="46" t="str">
        <f>IFERROR(__xludf.DUMMYFUNCTION("""COMPUTED_VALUE"""),"Vệ sinh lau trùi")</f>
        <v>Vệ sinh lau trùi</v>
      </c>
      <c r="K141" s="46"/>
      <c r="L141" s="46"/>
      <c r="M141" s="46"/>
      <c r="N141" s="46"/>
      <c r="O141" s="46"/>
      <c r="P141" s="46"/>
      <c r="Q141" s="46" t="str">
        <f>IFERROR(__xludf.DUMMYFUNCTION("""COMPUTED_VALUE"""),"Hoàn thành")</f>
        <v>Hoàn thành</v>
      </c>
      <c r="R141" s="46"/>
      <c r="S141" s="46"/>
      <c r="T141" s="46"/>
      <c r="U141" s="46"/>
      <c r="V141" s="46"/>
      <c r="W141" s="46"/>
      <c r="X141" s="46"/>
      <c r="Y141" s="46"/>
      <c r="Z141" s="46"/>
      <c r="AA141" s="46"/>
    </row>
    <row r="142">
      <c r="A142" s="55">
        <f>IFERROR(__xludf.DUMMYFUNCTION("""COMPUTED_VALUE"""),44282.632279247686)</f>
        <v>44282.63228</v>
      </c>
      <c r="B142" s="56">
        <f>IFERROR(__xludf.DUMMYFUNCTION("""COMPUTED_VALUE"""),44279.0)</f>
        <v>44279</v>
      </c>
      <c r="C142" s="59" t="str">
        <f t="shared" si="3"/>
        <v>Báo cáo muộn</v>
      </c>
      <c r="D142" s="46" t="str">
        <f>IFERROR(__xludf.DUMMYFUNCTION("""COMPUTED_VALUE"""),"hieppn")</f>
        <v>hieppn</v>
      </c>
      <c r="E142" s="57" t="str">
        <f>IFERROR(__xludf.DUMMYFUNCTION("""COMPUTED_VALUE"""),"56HGL00273")</f>
        <v>56HGL00273</v>
      </c>
      <c r="F142" s="46" t="str">
        <f>IFERROR(__xludf.DUMMYFUNCTION("""COMPUTED_VALUE"""),"Công ty HMT, Nga Sơn, Thanh Hóa")</f>
        <v>Công ty HMT, Nga Sơn, Thanh Hóa</v>
      </c>
      <c r="G142" s="46" t="str">
        <f>IFERROR(__xludf.DUMMYFUNCTION("""COMPUTED_VALUE"""),"lỗi máy in ")</f>
        <v>lỗi máy in </v>
      </c>
      <c r="H142" s="46"/>
      <c r="I142" s="46"/>
      <c r="J142" s="46" t="str">
        <f>IFERROR(__xludf.DUMMYFUNCTION("""COMPUTED_VALUE"""),"vệ sinh và thay thế ")</f>
        <v>vệ sinh và thay thế </v>
      </c>
      <c r="K142" s="46" t="str">
        <f>IFERROR(__xludf.DUMMYFUNCTION("""COMPUTED_VALUE"""),"01 máy in biên lai ")</f>
        <v>01 máy in biên lai </v>
      </c>
      <c r="L142" s="46"/>
      <c r="M142" s="46"/>
      <c r="N142" s="46"/>
      <c r="O142" s="46"/>
      <c r="P142" s="46"/>
      <c r="Q142" s="46" t="str">
        <f>IFERROR(__xludf.DUMMYFUNCTION("""COMPUTED_VALUE"""),"Hoàn thành")</f>
        <v>Hoàn thành</v>
      </c>
      <c r="R142" s="46"/>
      <c r="S142" s="46"/>
      <c r="T142" s="46"/>
      <c r="U142" s="46"/>
      <c r="V142" s="46"/>
      <c r="W142" s="46"/>
      <c r="X142" s="46"/>
      <c r="Y142" s="46"/>
      <c r="Z142" s="46"/>
      <c r="AA142" s="46"/>
    </row>
    <row r="143">
      <c r="A143" s="55">
        <f>IFERROR(__xludf.DUMMYFUNCTION("""COMPUTED_VALUE"""),44282.63405388889)</f>
        <v>44282.63405</v>
      </c>
      <c r="B143" s="56">
        <f>IFERROR(__xludf.DUMMYFUNCTION("""COMPUTED_VALUE"""),44280.0)</f>
        <v>44280</v>
      </c>
      <c r="C143" s="59" t="str">
        <f t="shared" si="3"/>
        <v>Báo cáo muộn</v>
      </c>
      <c r="D143" s="46" t="str">
        <f>IFERROR(__xludf.DUMMYFUNCTION("""COMPUTED_VALUE"""),"hieppn")</f>
        <v>hieppn</v>
      </c>
      <c r="E143" s="57" t="str">
        <f>IFERROR(__xludf.DUMMYFUNCTION("""COMPUTED_VALUE"""),"56HG707956")</f>
        <v>56HG707956</v>
      </c>
      <c r="F143" s="46" t="str">
        <f>IFERROR(__xludf.DUMMYFUNCTION("""COMPUTED_VALUE"""),"Công ty TNHH Công Nghiệp Hạ Long- CFG – KCN Khánh Cư, xã Khánh Cư, huyện Yên Khánh, tỉnh Ninh Bình")</f>
        <v>Công ty TNHH Công Nghiệp Hạ Long- CFG – KCN Khánh Cư, xã Khánh Cư, huyện Yên Khánh, tỉnh Ninh Bình</v>
      </c>
      <c r="G143" s="46" t="str">
        <f>IFERROR(__xludf.DUMMYFUNCTION("""COMPUTED_VALUE"""),"Bảo trì định kỳ ")</f>
        <v>Bảo trì định kỳ </v>
      </c>
      <c r="H143" s="46"/>
      <c r="I143" s="46" t="str">
        <f>IFERROR(__xludf.DUMMYFUNCTION("""COMPUTED_VALUE"""),"Bảo trì")</f>
        <v>Bảo trì</v>
      </c>
      <c r="J143" s="46"/>
      <c r="K143" s="46"/>
      <c r="L143" s="46"/>
      <c r="M143" s="46"/>
      <c r="N143" s="46"/>
      <c r="O143" s="46"/>
      <c r="P143" s="46"/>
      <c r="Q143" s="46" t="str">
        <f>IFERROR(__xludf.DUMMYFUNCTION("""COMPUTED_VALUE"""),"Hoàn thành")</f>
        <v>Hoàn thành</v>
      </c>
      <c r="R143" s="46"/>
      <c r="S143" s="46"/>
      <c r="T143" s="46"/>
      <c r="U143" s="46"/>
      <c r="V143" s="46"/>
      <c r="W143" s="46"/>
      <c r="X143" s="46"/>
      <c r="Y143" s="46"/>
      <c r="Z143" s="46"/>
      <c r="AA143" s="46"/>
    </row>
    <row r="144">
      <c r="A144" s="55">
        <f>IFERROR(__xludf.DUMMYFUNCTION("""COMPUTED_VALUE"""),44282.635963356486)</f>
        <v>44282.63596</v>
      </c>
      <c r="B144" s="56">
        <f>IFERROR(__xludf.DUMMYFUNCTION("""COMPUTED_VALUE"""),44281.0)</f>
        <v>44281</v>
      </c>
      <c r="C144" s="59" t="str">
        <f t="shared" si="3"/>
        <v/>
      </c>
      <c r="D144" s="46" t="str">
        <f>IFERROR(__xludf.DUMMYFUNCTION("""COMPUTED_VALUE"""),"hieppn")</f>
        <v>hieppn</v>
      </c>
      <c r="E144" s="57" t="str">
        <f>IFERROR(__xludf.DUMMYFUNCTION("""COMPUTED_VALUE"""),"5300381738")</f>
        <v>5300381738</v>
      </c>
      <c r="F144" s="46" t="str">
        <f>IFERROR(__xludf.DUMMYFUNCTION("""COMPUTED_VALUE"""),"70 đường 19 tháng 5 - Thị trấn Phố Lu")</f>
        <v>70 đường 19 tháng 5 - Thị trấn Phố Lu</v>
      </c>
      <c r="G144" s="46" t="str">
        <f>IFERROR(__xludf.DUMMYFUNCTION("""COMPUTED_VALUE"""),"khắc phục sự cố kết hợp bảo trì ")</f>
        <v>khắc phục sự cố kết hợp bảo trì </v>
      </c>
      <c r="H144" s="46"/>
      <c r="I144" s="46" t="str">
        <f>IFERROR(__xludf.DUMMYFUNCTION("""COMPUTED_VALUE"""),"Bảo trì")</f>
        <v>Bảo trì</v>
      </c>
      <c r="J144" s="46" t="str">
        <f>IFERROR(__xludf.DUMMYFUNCTION("""COMPUTED_VALUE"""),"thay thế kết hợp bảo trì ")</f>
        <v>thay thế kết hợp bảo trì </v>
      </c>
      <c r="K144" s="46" t="str">
        <f>IFERROR(__xludf.DUMMYFUNCTION("""COMPUTED_VALUE"""),"01 DDU")</f>
        <v>01 DDU</v>
      </c>
      <c r="L144" s="46"/>
      <c r="M144" s="46"/>
      <c r="N144" s="46"/>
      <c r="O144" s="46"/>
      <c r="P144" s="46"/>
      <c r="Q144" s="46" t="str">
        <f>IFERROR(__xludf.DUMMYFUNCTION("""COMPUTED_VALUE"""),"Hoàn thành")</f>
        <v>Hoàn thành</v>
      </c>
      <c r="R144" s="46"/>
      <c r="S144" s="46"/>
      <c r="T144" s="46"/>
      <c r="U144" s="46"/>
      <c r="V144" s="46"/>
      <c r="W144" s="46"/>
      <c r="X144" s="46"/>
      <c r="Y144" s="46"/>
      <c r="Z144" s="46"/>
      <c r="AA144" s="46"/>
    </row>
    <row r="145">
      <c r="A145" s="55">
        <f>IFERROR(__xludf.DUMMYFUNCTION("""COMPUTED_VALUE"""),44284.60771030093)</f>
        <v>44284.60771</v>
      </c>
      <c r="B145" s="56">
        <f>IFERROR(__xludf.DUMMYFUNCTION("""COMPUTED_VALUE"""),44284.0)</f>
        <v>44284</v>
      </c>
      <c r="C145" s="59" t="str">
        <f t="shared" si="3"/>
        <v/>
      </c>
      <c r="D145" s="46" t="str">
        <f>IFERROR(__xludf.DUMMYFUNCTION("""COMPUTED_VALUE"""),"Anhhl")</f>
        <v>Anhhl</v>
      </c>
      <c r="E145" s="57" t="str">
        <f>IFERROR(__xludf.DUMMYFUNCTION("""COMPUTED_VALUE"""),"5310107225")</f>
        <v>5310107225</v>
      </c>
      <c r="F145" s="46" t="str">
        <f>IFERROR(__xludf.DUMMYFUNCTION("""COMPUTED_VALUE"""),"Số 70 đường 19-5 thị trấn Phố Lu, huyện Bảo Thắng, Lào Cai")</f>
        <v>Số 70 đường 19-5 thị trấn Phố Lu, huyện Bảo Thắng, Lào Cai</v>
      </c>
      <c r="G145" s="46" t="str">
        <f>IFERROR(__xludf.DUMMYFUNCTION("""COMPUTED_VALUE"""),"Lỗi đầu đọc thẻ")</f>
        <v>Lỗi đầu đọc thẻ</v>
      </c>
      <c r="H145" s="46"/>
      <c r="I145" s="46"/>
      <c r="J145" s="46" t="str">
        <f>IFERROR(__xludf.DUMMYFUNCTION("""COMPUTED_VALUE"""),"Vệ sinh, lau chùi ")</f>
        <v>Vệ sinh, lau chùi </v>
      </c>
      <c r="K145" s="46"/>
      <c r="L145" s="46"/>
      <c r="M145" s="46"/>
      <c r="N145" s="46"/>
      <c r="O145" s="46"/>
      <c r="P145" s="46"/>
      <c r="Q145" s="46" t="str">
        <f>IFERROR(__xludf.DUMMYFUNCTION("""COMPUTED_VALUE"""),"Hoàn thành")</f>
        <v>Hoàn thành</v>
      </c>
      <c r="R145" s="46"/>
      <c r="S145" s="46"/>
      <c r="T145" s="46"/>
      <c r="U145" s="46"/>
      <c r="V145" s="46"/>
      <c r="W145" s="46"/>
      <c r="X145" s="46"/>
      <c r="Y145" s="46"/>
      <c r="Z145" s="46"/>
      <c r="AA145" s="46"/>
    </row>
    <row r="146">
      <c r="A146" s="55">
        <f>IFERROR(__xludf.DUMMYFUNCTION("""COMPUTED_VALUE"""),44284.66951388889)</f>
        <v>44284.66951</v>
      </c>
      <c r="B146" s="56">
        <f>IFERROR(__xludf.DUMMYFUNCTION("""COMPUTED_VALUE"""),44270.0)</f>
        <v>44270</v>
      </c>
      <c r="C146" s="59" t="str">
        <f t="shared" si="3"/>
        <v>Báo cáo muộn</v>
      </c>
      <c r="D146" s="46" t="str">
        <f>IFERROR(__xludf.DUMMYFUNCTION("""COMPUTED_VALUE"""),"Tunt")</f>
        <v>Tunt</v>
      </c>
      <c r="E146" s="57" t="str">
        <f>IFERROR(__xludf.DUMMYFUNCTION("""COMPUTED_VALUE"""),"5310105816")</f>
        <v>5310105816</v>
      </c>
      <c r="F146" s="46" t="str">
        <f>IFERROR(__xludf.DUMMYFUNCTION("""COMPUTED_VALUE"""),"Bản Tân Lập, X. Chiềng Khương, H.Sông Mã, Sơn La")</f>
        <v>Bản Tân Lập, X. Chiềng Khương, H.Sông Mã, Sơn La</v>
      </c>
      <c r="G146" s="46" t="str">
        <f>IFERROR(__xludf.DUMMYFUNCTION("""COMPUTED_VALUE"""),"Tiền loại nhiều, bảo trì")</f>
        <v>Tiền loại nhiều, bảo trì</v>
      </c>
      <c r="H146" s="46"/>
      <c r="I146" s="46" t="str">
        <f>IFERROR(__xludf.DUMMYFUNCTION("""COMPUTED_VALUE"""),"Bảo trì")</f>
        <v>Bảo trì</v>
      </c>
      <c r="J146" s="46" t="str">
        <f>IFERROR(__xludf.DUMMYFUNCTION("""COMPUTED_VALUE"""),"Thay thế 01 trục GAP, bảo trì")</f>
        <v>Thay thế 01 trục GAP, bảo trì</v>
      </c>
      <c r="K146" s="46"/>
      <c r="L146" s="46"/>
      <c r="M146" s="46"/>
      <c r="N146" s="46"/>
      <c r="O146" s="46"/>
      <c r="P146" s="46"/>
      <c r="Q146" s="46" t="str">
        <f>IFERROR(__xludf.DUMMYFUNCTION("""COMPUTED_VALUE"""),"Hoàn thành")</f>
        <v>Hoàn thành</v>
      </c>
      <c r="R146" s="46"/>
      <c r="S146" s="46"/>
      <c r="T146" s="46"/>
      <c r="U146" s="46"/>
      <c r="V146" s="46"/>
      <c r="W146" s="46"/>
      <c r="X146" s="46"/>
      <c r="Y146" s="46"/>
      <c r="Z146" s="46"/>
      <c r="AA146" s="46"/>
    </row>
    <row r="147">
      <c r="A147" s="55">
        <f>IFERROR(__xludf.DUMMYFUNCTION("""COMPUTED_VALUE"""),44284.67033945602)</f>
        <v>44284.67034</v>
      </c>
      <c r="B147" s="56">
        <f>IFERROR(__xludf.DUMMYFUNCTION("""COMPUTED_VALUE"""),44271.0)</f>
        <v>44271</v>
      </c>
      <c r="C147" s="59" t="str">
        <f t="shared" si="3"/>
        <v>Báo cáo muộn</v>
      </c>
      <c r="D147" s="46" t="str">
        <f>IFERROR(__xludf.DUMMYFUNCTION("""COMPUTED_VALUE"""),"Tunt")</f>
        <v>Tunt</v>
      </c>
      <c r="E147" s="57" t="str">
        <f>IFERROR(__xludf.DUMMYFUNCTION("""COMPUTED_VALUE"""),"5300380006")</f>
        <v>5300380006</v>
      </c>
      <c r="F147" s="46" t="str">
        <f>IFERROR(__xludf.DUMMYFUNCTION("""COMPUTED_VALUE"""),"NHNo Tứ Kỳ - Đường 391 H. Tứ Kỳ - T. Hải Dương")</f>
        <v>NHNo Tứ Kỳ - Đường 391 H. Tứ Kỳ - T. Hải Dương</v>
      </c>
      <c r="G147" s="46" t="str">
        <f>IFERROR(__xludf.DUMMYFUNCTION("""COMPUTED_VALUE"""),"Bảo trì")</f>
        <v>Bảo trì</v>
      </c>
      <c r="H147" s="46"/>
      <c r="I147" s="46" t="str">
        <f>IFERROR(__xludf.DUMMYFUNCTION("""COMPUTED_VALUE"""),"Bảo trì")</f>
        <v>Bảo trì</v>
      </c>
      <c r="J147" s="46" t="str">
        <f>IFERROR(__xludf.DUMMYFUNCTION("""COMPUTED_VALUE"""),"Bảo trì")</f>
        <v>Bảo trì</v>
      </c>
      <c r="K147" s="46"/>
      <c r="L147" s="46"/>
      <c r="M147" s="46"/>
      <c r="N147" s="46"/>
      <c r="O147" s="46"/>
      <c r="P147" s="46"/>
      <c r="Q147" s="46" t="str">
        <f>IFERROR(__xludf.DUMMYFUNCTION("""COMPUTED_VALUE"""),"Hoàn thành")</f>
        <v>Hoàn thành</v>
      </c>
      <c r="R147" s="46"/>
      <c r="S147" s="46"/>
      <c r="T147" s="46"/>
      <c r="U147" s="46"/>
      <c r="V147" s="46"/>
      <c r="W147" s="46"/>
      <c r="X147" s="46"/>
      <c r="Y147" s="46"/>
      <c r="Z147" s="46"/>
      <c r="AA147" s="46"/>
    </row>
    <row r="148">
      <c r="A148" s="55">
        <f>IFERROR(__xludf.DUMMYFUNCTION("""COMPUTED_VALUE"""),44284.67143375)</f>
        <v>44284.67143</v>
      </c>
      <c r="B148" s="56">
        <f>IFERROR(__xludf.DUMMYFUNCTION("""COMPUTED_VALUE"""),44272.0)</f>
        <v>44272</v>
      </c>
      <c r="C148" s="59" t="str">
        <f t="shared" si="3"/>
        <v>Báo cáo muộn</v>
      </c>
      <c r="D148" s="46" t="str">
        <f>IFERROR(__xludf.DUMMYFUNCTION("""COMPUTED_VALUE"""),"Tunt")</f>
        <v>Tunt</v>
      </c>
      <c r="E148" s="57" t="str">
        <f>IFERROR(__xludf.DUMMYFUNCTION("""COMPUTED_VALUE"""),"5300378203")</f>
        <v>5300378203</v>
      </c>
      <c r="F148" s="46" t="str">
        <f>IFERROR(__xludf.DUMMYFUNCTION("""COMPUTED_VALUE"""),"PGD Pháp Vân-tầng 1, nơ 7, KĐT Pháp Vân, Tứ Hiệp")</f>
        <v>PGD Pháp Vân-tầng 1, nơ 7, KĐT Pháp Vân, Tứ Hiệp</v>
      </c>
      <c r="G148" s="46" t="str">
        <f>IFERROR(__xludf.DUMMYFUNCTION("""COMPUTED_VALUE"""),"Tiền loại nhiều, bảo tri")</f>
        <v>Tiền loại nhiều, bảo tri</v>
      </c>
      <c r="H148" s="46"/>
      <c r="I148" s="46" t="str">
        <f>IFERROR(__xludf.DUMMYFUNCTION("""COMPUTED_VALUE"""),"Bảo trì")</f>
        <v>Bảo trì</v>
      </c>
      <c r="J148" s="46" t="str">
        <f>IFERROR(__xludf.DUMMYFUNCTION("""COMPUTED_VALUE"""),"Căn chỉnh GAP, bảo trì")</f>
        <v>Căn chỉnh GAP, bảo trì</v>
      </c>
      <c r="K148" s="46"/>
      <c r="L148" s="46"/>
      <c r="M148" s="46"/>
      <c r="N148" s="46"/>
      <c r="O148" s="46"/>
      <c r="P148" s="46"/>
      <c r="Q148" s="46" t="str">
        <f>IFERROR(__xludf.DUMMYFUNCTION("""COMPUTED_VALUE"""),"Hoàn thành")</f>
        <v>Hoàn thành</v>
      </c>
      <c r="R148" s="46"/>
      <c r="S148" s="46"/>
      <c r="T148" s="46"/>
      <c r="U148" s="46"/>
      <c r="V148" s="46"/>
      <c r="W148" s="46"/>
      <c r="X148" s="46"/>
      <c r="Y148" s="46"/>
      <c r="Z148" s="46"/>
      <c r="AA148" s="46"/>
    </row>
    <row r="149">
      <c r="A149" s="55">
        <f>IFERROR(__xludf.DUMMYFUNCTION("""COMPUTED_VALUE"""),44284.67185491898)</f>
        <v>44284.67185</v>
      </c>
      <c r="B149" s="56">
        <f>IFERROR(__xludf.DUMMYFUNCTION("""COMPUTED_VALUE"""),44273.0)</f>
        <v>44273</v>
      </c>
      <c r="C149" s="59" t="str">
        <f t="shared" si="3"/>
        <v>Báo cáo muộn</v>
      </c>
      <c r="D149" s="46" t="str">
        <f>IFERROR(__xludf.DUMMYFUNCTION("""COMPUTED_VALUE"""),"Tunt")</f>
        <v>Tunt</v>
      </c>
      <c r="E149" s="57" t="str">
        <f>IFERROR(__xludf.DUMMYFUNCTION("""COMPUTED_VALUE"""),"5310107229")</f>
        <v>5310107229</v>
      </c>
      <c r="F149" s="46" t="str">
        <f>IFERROR(__xludf.DUMMYFUNCTION("""COMPUTED_VALUE"""),"Khu trung tâm điều hành KCN, xã Hoàng Ninh, huyện Việt Yên, Bắc Giang")</f>
        <v>Khu trung tâm điều hành KCN, xã Hoàng Ninh, huyện Việt Yên, Bắc Giang</v>
      </c>
      <c r="G149" s="46" t="str">
        <f>IFERROR(__xludf.DUMMYFUNCTION("""COMPUTED_VALUE"""),"Bảo trì")</f>
        <v>Bảo trì</v>
      </c>
      <c r="H149" s="46"/>
      <c r="I149" s="46" t="str">
        <f>IFERROR(__xludf.DUMMYFUNCTION("""COMPUTED_VALUE"""),"Bảo trì")</f>
        <v>Bảo trì</v>
      </c>
      <c r="J149" s="46" t="str">
        <f>IFERROR(__xludf.DUMMYFUNCTION("""COMPUTED_VALUE"""),"Bảo trì")</f>
        <v>Bảo trì</v>
      </c>
      <c r="K149" s="46"/>
      <c r="L149" s="46"/>
      <c r="M149" s="46"/>
      <c r="N149" s="46"/>
      <c r="O149" s="46"/>
      <c r="P149" s="46"/>
      <c r="Q149" s="46" t="str">
        <f>IFERROR(__xludf.DUMMYFUNCTION("""COMPUTED_VALUE"""),"Hoàn thành")</f>
        <v>Hoàn thành</v>
      </c>
      <c r="R149" s="46"/>
      <c r="S149" s="46"/>
      <c r="T149" s="46"/>
      <c r="U149" s="46"/>
      <c r="V149" s="46"/>
      <c r="W149" s="46"/>
      <c r="X149" s="46"/>
      <c r="Y149" s="46"/>
      <c r="Z149" s="46"/>
      <c r="AA149" s="46"/>
    </row>
    <row r="150">
      <c r="A150" s="55">
        <f>IFERROR(__xludf.DUMMYFUNCTION("""COMPUTED_VALUE"""),44284.67232971065)</f>
        <v>44284.67233</v>
      </c>
      <c r="B150" s="56">
        <f>IFERROR(__xludf.DUMMYFUNCTION("""COMPUTED_VALUE"""),44274.0)</f>
        <v>44274</v>
      </c>
      <c r="C150" s="59" t="str">
        <f t="shared" si="3"/>
        <v>Báo cáo muộn</v>
      </c>
      <c r="D150" s="46" t="str">
        <f>IFERROR(__xludf.DUMMYFUNCTION("""COMPUTED_VALUE"""),"Tunt")</f>
        <v>Tunt</v>
      </c>
      <c r="E150" s="57" t="str">
        <f>IFERROR(__xludf.DUMMYFUNCTION("""COMPUTED_VALUE"""),"5310180920")</f>
        <v>5310180920</v>
      </c>
      <c r="F150" s="46" t="str">
        <f>IFERROR(__xludf.DUMMYFUNCTION("""COMPUTED_VALUE"""),"Số 37 đường Hồ Xuân Hương, P.Trường Sơn, TT Sầm Sơn, TP Sầm Sơn, tỉnh Thanh Hóa")</f>
        <v>Số 37 đường Hồ Xuân Hương, P.Trường Sơn, TT Sầm Sơn, TP Sầm Sơn, tỉnh Thanh Hóa</v>
      </c>
      <c r="G150" s="46" t="str">
        <f>IFERROR(__xludf.DUMMYFUNCTION("""COMPUTED_VALUE"""),"Bảo trì")</f>
        <v>Bảo trì</v>
      </c>
      <c r="H150" s="46"/>
      <c r="I150" s="46" t="str">
        <f>IFERROR(__xludf.DUMMYFUNCTION("""COMPUTED_VALUE"""),"Bảo trì")</f>
        <v>Bảo trì</v>
      </c>
      <c r="J150" s="46" t="str">
        <f>IFERROR(__xludf.DUMMYFUNCTION("""COMPUTED_VALUE"""),"Bảo trì")</f>
        <v>Bảo trì</v>
      </c>
      <c r="K150" s="46"/>
      <c r="L150" s="46"/>
      <c r="M150" s="46"/>
      <c r="N150" s="46"/>
      <c r="O150" s="46"/>
      <c r="P150" s="46"/>
      <c r="Q150" s="46" t="str">
        <f>IFERROR(__xludf.DUMMYFUNCTION("""COMPUTED_VALUE"""),"Hoàn thành")</f>
        <v>Hoàn thành</v>
      </c>
      <c r="R150" s="46"/>
      <c r="S150" s="46"/>
      <c r="T150" s="46"/>
      <c r="U150" s="46"/>
      <c r="V150" s="46"/>
      <c r="W150" s="46"/>
      <c r="X150" s="46"/>
      <c r="Y150" s="46"/>
      <c r="Z150" s="46"/>
      <c r="AA150" s="46"/>
    </row>
    <row r="151">
      <c r="A151" s="55">
        <f>IFERROR(__xludf.DUMMYFUNCTION("""COMPUTED_VALUE"""),44284.67314914352)</f>
        <v>44284.67315</v>
      </c>
      <c r="B151" s="56">
        <f>IFERROR(__xludf.DUMMYFUNCTION("""COMPUTED_VALUE"""),44277.0)</f>
        <v>44277</v>
      </c>
      <c r="C151" s="59" t="str">
        <f t="shared" si="3"/>
        <v>Báo cáo muộn</v>
      </c>
      <c r="D151" s="46" t="str">
        <f>IFERROR(__xludf.DUMMYFUNCTION("""COMPUTED_VALUE"""),"Tunt")</f>
        <v>Tunt</v>
      </c>
      <c r="E151" s="57" t="str">
        <f>IFERROR(__xludf.DUMMYFUNCTION("""COMPUTED_VALUE"""),"5300381788")</f>
        <v>5300381788</v>
      </c>
      <c r="F151" s="46" t="str">
        <f>IFERROR(__xludf.DUMMYFUNCTION("""COMPUTED_VALUE"""),"146 phố Môi, thị trấn Môi, Thanh Hóa")</f>
        <v>146 phố Môi, thị trấn Môi, Thanh Hóa</v>
      </c>
      <c r="G151" s="46" t="str">
        <f>IFERROR(__xludf.DUMMYFUNCTION("""COMPUTED_VALUE"""),"Lỗi khay 100k")</f>
        <v>Lỗi khay 100k</v>
      </c>
      <c r="H151" s="46"/>
      <c r="I151" s="46"/>
      <c r="J151" s="46" t="str">
        <f>IFERROR(__xludf.DUMMYFUNCTION("""COMPUTED_VALUE"""),"Thay thế")</f>
        <v>Thay thế</v>
      </c>
      <c r="K151" s="46" t="str">
        <f>IFERROR(__xludf.DUMMYFUNCTION("""COMPUTED_VALUE"""),"01 côn điện")</f>
        <v>01 côn điện</v>
      </c>
      <c r="L151" s="46"/>
      <c r="M151" s="46"/>
      <c r="N151" s="46"/>
      <c r="O151" s="46"/>
      <c r="P151" s="46"/>
      <c r="Q151" s="46" t="str">
        <f>IFERROR(__xludf.DUMMYFUNCTION("""COMPUTED_VALUE"""),"Hoàn thành")</f>
        <v>Hoàn thành</v>
      </c>
      <c r="R151" s="46"/>
      <c r="S151" s="46"/>
      <c r="T151" s="46"/>
      <c r="U151" s="46"/>
      <c r="V151" s="46"/>
      <c r="W151" s="46"/>
      <c r="X151" s="46"/>
      <c r="Y151" s="46"/>
      <c r="Z151" s="46"/>
      <c r="AA151" s="46"/>
    </row>
    <row r="152">
      <c r="A152" s="55">
        <f>IFERROR(__xludf.DUMMYFUNCTION("""COMPUTED_VALUE"""),44284.67363356482)</f>
        <v>44284.67363</v>
      </c>
      <c r="B152" s="56">
        <f>IFERROR(__xludf.DUMMYFUNCTION("""COMPUTED_VALUE"""),44277.0)</f>
        <v>44277</v>
      </c>
      <c r="C152" s="59" t="str">
        <f t="shared" si="3"/>
        <v>Báo cáo muộn</v>
      </c>
      <c r="D152" s="46" t="str">
        <f>IFERROR(__xludf.DUMMYFUNCTION("""COMPUTED_VALUE"""),"Tunt")</f>
        <v>Tunt</v>
      </c>
      <c r="E152" s="57" t="str">
        <f>IFERROR(__xludf.DUMMYFUNCTION("""COMPUTED_VALUE"""),"5300381656")</f>
        <v>5300381656</v>
      </c>
      <c r="F152" s="46" t="str">
        <f>IFERROR(__xludf.DUMMYFUNCTION("""COMPUTED_VALUE"""),"Khối 1 - Thị trấn Hoàng Mai - Quỳnh Lưu - Nghệ An")</f>
        <v>Khối 1 - Thị trấn Hoàng Mai - Quỳnh Lưu - Nghệ An</v>
      </c>
      <c r="G152" s="46" t="str">
        <f>IFERROR(__xludf.DUMMYFUNCTION("""COMPUTED_VALUE"""),"Bảo trì, tiền loại nhiều")</f>
        <v>Bảo trì, tiền loại nhiều</v>
      </c>
      <c r="H152" s="46"/>
      <c r="I152" s="46" t="str">
        <f>IFERROR(__xludf.DUMMYFUNCTION("""COMPUTED_VALUE"""),"Bảo trì")</f>
        <v>Bảo trì</v>
      </c>
      <c r="J152" s="46" t="str">
        <f>IFERROR(__xludf.DUMMYFUNCTION("""COMPUTED_VALUE"""),"Căn chỉnh GAP, bảo trì")</f>
        <v>Căn chỉnh GAP, bảo trì</v>
      </c>
      <c r="K152" s="46"/>
      <c r="L152" s="46"/>
      <c r="M152" s="46"/>
      <c r="N152" s="46"/>
      <c r="O152" s="46"/>
      <c r="P152" s="46"/>
      <c r="Q152" s="46" t="str">
        <f>IFERROR(__xludf.DUMMYFUNCTION("""COMPUTED_VALUE"""),"Hoàn thành")</f>
        <v>Hoàn thành</v>
      </c>
      <c r="R152" s="46"/>
      <c r="S152" s="46"/>
      <c r="T152" s="46"/>
      <c r="U152" s="46"/>
      <c r="V152" s="46"/>
      <c r="W152" s="46"/>
      <c r="X152" s="46"/>
      <c r="Y152" s="46"/>
      <c r="Z152" s="46"/>
      <c r="AA152" s="46"/>
    </row>
    <row r="153">
      <c r="A153" s="55">
        <f>IFERROR(__xludf.DUMMYFUNCTION("""COMPUTED_VALUE"""),44284.674735775465)</f>
        <v>44284.67474</v>
      </c>
      <c r="B153" s="56">
        <f>IFERROR(__xludf.DUMMYFUNCTION("""COMPUTED_VALUE"""),44278.0)</f>
        <v>44278</v>
      </c>
      <c r="C153" s="59" t="str">
        <f t="shared" si="3"/>
        <v>Báo cáo muộn</v>
      </c>
      <c r="D153" s="46" t="str">
        <f>IFERROR(__xludf.DUMMYFUNCTION("""COMPUTED_VALUE"""),"Tunt")</f>
        <v>Tunt</v>
      </c>
      <c r="E153" s="57" t="str">
        <f>IFERROR(__xludf.DUMMYFUNCTION("""COMPUTED_VALUE"""),"5310182921")</f>
        <v>5310182921</v>
      </c>
      <c r="F153" s="46" t="str">
        <f>IFERROR(__xludf.DUMMYFUNCTION("""COMPUTED_VALUE"""),"Khối 7 - TT Hưng Nguyên, huyện Hưng Nguyên, tỉnh Nghệ An")</f>
        <v>Khối 7 - TT Hưng Nguyên, huyện Hưng Nguyên, tỉnh Nghệ An</v>
      </c>
      <c r="G153" s="46" t="str">
        <f>IFERROR(__xludf.DUMMYFUNCTION("""COMPUTED_VALUE"""),"Bảo trì, lỗi đầu đọc thẻ")</f>
        <v>Bảo trì, lỗi đầu đọc thẻ</v>
      </c>
      <c r="H153" s="46"/>
      <c r="I153" s="46" t="str">
        <f>IFERROR(__xludf.DUMMYFUNCTION("""COMPUTED_VALUE"""),"Bảo trì")</f>
        <v>Bảo trì</v>
      </c>
      <c r="J153" s="46" t="str">
        <f>IFERROR(__xludf.DUMMYFUNCTION("""COMPUTED_VALUE"""),"Đổi cổng USB trên Sel, bảo trì")</f>
        <v>Đổi cổng USB trên Sel, bảo trì</v>
      </c>
      <c r="K153" s="46"/>
      <c r="L153" s="46"/>
      <c r="M153" s="46"/>
      <c r="N153" s="46"/>
      <c r="O153" s="46"/>
      <c r="P153" s="46"/>
      <c r="Q153" s="46" t="str">
        <f>IFERROR(__xludf.DUMMYFUNCTION("""COMPUTED_VALUE"""),"Hoàn thành")</f>
        <v>Hoàn thành</v>
      </c>
      <c r="R153" s="46"/>
      <c r="S153" s="46"/>
      <c r="T153" s="46"/>
      <c r="U153" s="46"/>
      <c r="V153" s="46"/>
      <c r="W153" s="46"/>
      <c r="X153" s="46"/>
      <c r="Y153" s="46"/>
      <c r="Z153" s="46"/>
      <c r="AA153" s="46"/>
    </row>
    <row r="154">
      <c r="A154" s="55">
        <f>IFERROR(__xludf.DUMMYFUNCTION("""COMPUTED_VALUE"""),44284.67528590278)</f>
        <v>44284.67529</v>
      </c>
      <c r="B154" s="56">
        <f>IFERROR(__xludf.DUMMYFUNCTION("""COMPUTED_VALUE"""),44279.0)</f>
        <v>44279</v>
      </c>
      <c r="C154" s="59" t="str">
        <f t="shared" si="3"/>
        <v>Báo cáo muộn</v>
      </c>
      <c r="D154" s="46" t="str">
        <f>IFERROR(__xludf.DUMMYFUNCTION("""COMPUTED_VALUE"""),"Tunt")</f>
        <v>Tunt</v>
      </c>
      <c r="E154" s="57" t="str">
        <f>IFERROR(__xludf.DUMMYFUNCTION("""COMPUTED_VALUE"""),"xxxxxxxxxx")</f>
        <v>xxxxxxxxxx</v>
      </c>
      <c r="F154" s="46" t="str">
        <f>IFERROR(__xludf.DUMMYFUNCTION("""COMPUTED_VALUE"""),"")</f>
        <v/>
      </c>
      <c r="G154" s="46" t="str">
        <f>IFERROR(__xludf.DUMMYFUNCTION("""COMPUTED_VALUE"""),"Lỗi 1-9,2-3, bảo trì")</f>
        <v>Lỗi 1-9,2-3, bảo trì</v>
      </c>
      <c r="H154" s="46"/>
      <c r="I154" s="46" t="str">
        <f>IFERROR(__xludf.DUMMYFUNCTION("""COMPUTED_VALUE"""),"Bảo trì")</f>
        <v>Bảo trì</v>
      </c>
      <c r="J154" s="46" t="str">
        <f>IFERROR(__xludf.DUMMYFUNCTION("""COMPUTED_VALUE"""),"Bảo trì")</f>
        <v>Bảo trì</v>
      </c>
      <c r="K154" s="46"/>
      <c r="L154" s="46"/>
      <c r="M154" s="46"/>
      <c r="N154" s="46"/>
      <c r="O154" s="46"/>
      <c r="P154" s="46"/>
      <c r="Q154" s="46" t="str">
        <f>IFERROR(__xludf.DUMMYFUNCTION("""COMPUTED_VALUE"""),"Hoàn thành")</f>
        <v>Hoàn thành</v>
      </c>
      <c r="R154" s="46"/>
      <c r="S154" s="46"/>
      <c r="T154" s="46"/>
      <c r="U154" s="46"/>
      <c r="V154" s="46"/>
      <c r="W154" s="46"/>
      <c r="X154" s="46"/>
      <c r="Y154" s="46"/>
      <c r="Z154" s="46"/>
      <c r="AA154" s="46"/>
    </row>
    <row r="155">
      <c r="A155" s="55">
        <f>IFERROR(__xludf.DUMMYFUNCTION("""COMPUTED_VALUE"""),44284.6756562963)</f>
        <v>44284.67566</v>
      </c>
      <c r="B155" s="56">
        <f>IFERROR(__xludf.DUMMYFUNCTION("""COMPUTED_VALUE"""),44280.0)</f>
        <v>44280</v>
      </c>
      <c r="C155" s="59" t="str">
        <f t="shared" si="3"/>
        <v>Báo cáo muộn</v>
      </c>
      <c r="D155" s="46" t="str">
        <f>IFERROR(__xludf.DUMMYFUNCTION("""COMPUTED_VALUE"""),"Tunt")</f>
        <v>Tunt</v>
      </c>
      <c r="E155" s="57" t="str">
        <f>IFERROR(__xludf.DUMMYFUNCTION("""COMPUTED_VALUE"""),"5310182742")</f>
        <v>5310182742</v>
      </c>
      <c r="F155" s="46" t="str">
        <f>IFERROR(__xludf.DUMMYFUNCTION("""COMPUTED_VALUE"""),"Xóm 11, xã Tràng Sơn, huyện Đô Lương, tỉnh Nghệ An")</f>
        <v>Xóm 11, xã Tràng Sơn, huyện Đô Lương, tỉnh Nghệ An</v>
      </c>
      <c r="G155" s="46" t="str">
        <f>IFERROR(__xludf.DUMMYFUNCTION("""COMPUTED_VALUE"""),"Bảo trì")</f>
        <v>Bảo trì</v>
      </c>
      <c r="H155" s="46"/>
      <c r="I155" s="46" t="str">
        <f>IFERROR(__xludf.DUMMYFUNCTION("""COMPUTED_VALUE"""),"Bảo trì")</f>
        <v>Bảo trì</v>
      </c>
      <c r="J155" s="46" t="str">
        <f>IFERROR(__xludf.DUMMYFUNCTION("""COMPUTED_VALUE"""),"Bảo trì")</f>
        <v>Bảo trì</v>
      </c>
      <c r="K155" s="46"/>
      <c r="L155" s="46"/>
      <c r="M155" s="46"/>
      <c r="N155" s="46"/>
      <c r="O155" s="46"/>
      <c r="P155" s="46"/>
      <c r="Q155" s="46" t="str">
        <f>IFERROR(__xludf.DUMMYFUNCTION("""COMPUTED_VALUE"""),"Hoàn thành")</f>
        <v>Hoàn thành</v>
      </c>
      <c r="R155" s="46"/>
      <c r="S155" s="46"/>
      <c r="T155" s="46"/>
      <c r="U155" s="46"/>
      <c r="V155" s="46"/>
      <c r="W155" s="46"/>
      <c r="X155" s="46"/>
      <c r="Y155" s="46"/>
      <c r="Z155" s="46"/>
      <c r="AA155" s="46"/>
    </row>
    <row r="156">
      <c r="A156" s="55">
        <f>IFERROR(__xludf.DUMMYFUNCTION("""COMPUTED_VALUE"""),44284.67615900463)</f>
        <v>44284.67616</v>
      </c>
      <c r="B156" s="56">
        <f>IFERROR(__xludf.DUMMYFUNCTION("""COMPUTED_VALUE"""),44281.0)</f>
        <v>44281</v>
      </c>
      <c r="C156" s="59" t="str">
        <f t="shared" si="3"/>
        <v>Báo cáo muộn</v>
      </c>
      <c r="D156" s="46" t="str">
        <f>IFERROR(__xludf.DUMMYFUNCTION("""COMPUTED_VALUE"""),"Tunt")</f>
        <v>Tunt</v>
      </c>
      <c r="E156" s="57" t="str">
        <f>IFERROR(__xludf.DUMMYFUNCTION("""COMPUTED_VALUE"""),"5310105484")</f>
        <v>5310105484</v>
      </c>
      <c r="F156" s="46" t="str">
        <f>IFERROR(__xludf.DUMMYFUNCTION("""COMPUTED_VALUE"""),"Số 34 Tô Hiệu, phường Nguyễn Trãi, quận Hà Đông")</f>
        <v>Số 34 Tô Hiệu, phường Nguyễn Trãi, quận Hà Đông</v>
      </c>
      <c r="G156" s="46" t="str">
        <f>IFERROR(__xludf.DUMMYFUNCTION("""COMPUTED_VALUE"""),"Bảo trì")</f>
        <v>Bảo trì</v>
      </c>
      <c r="H156" s="46"/>
      <c r="I156" s="46" t="str">
        <f>IFERROR(__xludf.DUMMYFUNCTION("""COMPUTED_VALUE"""),"Bảo trì")</f>
        <v>Bảo trì</v>
      </c>
      <c r="J156" s="46" t="str">
        <f>IFERROR(__xludf.DUMMYFUNCTION("""COMPUTED_VALUE"""),"Bảo trì")</f>
        <v>Bảo trì</v>
      </c>
      <c r="K156" s="46"/>
      <c r="L156" s="46"/>
      <c r="M156" s="46"/>
      <c r="N156" s="46"/>
      <c r="O156" s="46"/>
      <c r="P156" s="46"/>
      <c r="Q156" s="46" t="str">
        <f>IFERROR(__xludf.DUMMYFUNCTION("""COMPUTED_VALUE"""),"Hoàn thành")</f>
        <v>Hoàn thành</v>
      </c>
      <c r="R156" s="46"/>
      <c r="S156" s="46"/>
      <c r="T156" s="46"/>
      <c r="U156" s="46"/>
      <c r="V156" s="46"/>
      <c r="W156" s="46"/>
      <c r="X156" s="46"/>
      <c r="Y156" s="46"/>
      <c r="Z156" s="46"/>
      <c r="AA156" s="46"/>
    </row>
    <row r="157">
      <c r="A157" s="55">
        <f>IFERROR(__xludf.DUMMYFUNCTION("""COMPUTED_VALUE"""),44284.676476504625)</f>
        <v>44284.67648</v>
      </c>
      <c r="B157" s="56">
        <f>IFERROR(__xludf.DUMMYFUNCTION("""COMPUTED_VALUE"""),44281.0)</f>
        <v>44281</v>
      </c>
      <c r="C157" s="59" t="str">
        <f t="shared" si="3"/>
        <v>Báo cáo muộn</v>
      </c>
      <c r="D157" s="46" t="str">
        <f>IFERROR(__xludf.DUMMYFUNCTION("""COMPUTED_VALUE"""),"Tunt")</f>
        <v>Tunt</v>
      </c>
      <c r="E157" s="57" t="str">
        <f>IFERROR(__xludf.DUMMYFUNCTION("""COMPUTED_VALUE"""),"xxxxxxxxxx")</f>
        <v>xxxxxxxxxx</v>
      </c>
      <c r="F157" s="46" t="str">
        <f>IFERROR(__xludf.DUMMYFUNCTION("""COMPUTED_VALUE"""),"")</f>
        <v/>
      </c>
      <c r="G157" s="46" t="str">
        <f>IFERROR(__xludf.DUMMYFUNCTION("""COMPUTED_VALUE"""),"Bảo trì")</f>
        <v>Bảo trì</v>
      </c>
      <c r="H157" s="46"/>
      <c r="I157" s="46" t="str">
        <f>IFERROR(__xludf.DUMMYFUNCTION("""COMPUTED_VALUE"""),"Bảo trì")</f>
        <v>Bảo trì</v>
      </c>
      <c r="J157" s="46" t="str">
        <f>IFERROR(__xludf.DUMMYFUNCTION("""COMPUTED_VALUE"""),"Bảo trì")</f>
        <v>Bảo trì</v>
      </c>
      <c r="K157" s="46"/>
      <c r="L157" s="46"/>
      <c r="M157" s="46"/>
      <c r="N157" s="46"/>
      <c r="O157" s="46"/>
      <c r="P157" s="46"/>
      <c r="Q157" s="46" t="str">
        <f>IFERROR(__xludf.DUMMYFUNCTION("""COMPUTED_VALUE"""),"Hoàn thành")</f>
        <v>Hoàn thành</v>
      </c>
      <c r="R157" s="46"/>
      <c r="S157" s="46"/>
      <c r="T157" s="46"/>
      <c r="U157" s="46"/>
      <c r="V157" s="46"/>
      <c r="W157" s="46"/>
      <c r="X157" s="46"/>
      <c r="Y157" s="46"/>
      <c r="Z157" s="46"/>
      <c r="AA157" s="46"/>
    </row>
    <row r="158">
      <c r="A158" s="55">
        <f>IFERROR(__xludf.DUMMYFUNCTION("""COMPUTED_VALUE"""),44284.676773252315)</f>
        <v>44284.67677</v>
      </c>
      <c r="B158" s="56">
        <f>IFERROR(__xludf.DUMMYFUNCTION("""COMPUTED_VALUE"""),44282.0)</f>
        <v>44282</v>
      </c>
      <c r="C158" s="59" t="str">
        <f t="shared" si="3"/>
        <v>Báo cáo muộn</v>
      </c>
      <c r="D158" s="46" t="str">
        <f>IFERROR(__xludf.DUMMYFUNCTION("""COMPUTED_VALUE"""),"Tunt")</f>
        <v>Tunt</v>
      </c>
      <c r="E158" s="57" t="str">
        <f>IFERROR(__xludf.DUMMYFUNCTION("""COMPUTED_VALUE"""),"5300381778")</f>
        <v>5300381778</v>
      </c>
      <c r="F158" s="46" t="str">
        <f>IFERROR(__xludf.DUMMYFUNCTION("""COMPUTED_VALUE"""),"Xã Yên Sơn, H.Đô Lương, Nghệ An")</f>
        <v>Xã Yên Sơn, H.Đô Lương, Nghệ An</v>
      </c>
      <c r="G158" s="46" t="str">
        <f>IFERROR(__xludf.DUMMYFUNCTION("""COMPUTED_VALUE"""),"Bảo trì")</f>
        <v>Bảo trì</v>
      </c>
      <c r="H158" s="46"/>
      <c r="I158" s="46" t="str">
        <f>IFERROR(__xludf.DUMMYFUNCTION("""COMPUTED_VALUE"""),"Bảo trì")</f>
        <v>Bảo trì</v>
      </c>
      <c r="J158" s="46" t="str">
        <f>IFERROR(__xludf.DUMMYFUNCTION("""COMPUTED_VALUE"""),"Bảo trì")</f>
        <v>Bảo trì</v>
      </c>
      <c r="K158" s="46"/>
      <c r="L158" s="46"/>
      <c r="M158" s="46"/>
      <c r="N158" s="46"/>
      <c r="O158" s="46"/>
      <c r="P158" s="46"/>
      <c r="Q158" s="46" t="str">
        <f>IFERROR(__xludf.DUMMYFUNCTION("""COMPUTED_VALUE"""),"Hoàn thành")</f>
        <v>Hoàn thành</v>
      </c>
      <c r="R158" s="46"/>
      <c r="S158" s="46"/>
      <c r="T158" s="46"/>
      <c r="U158" s="46"/>
      <c r="V158" s="46"/>
      <c r="W158" s="46"/>
      <c r="X158" s="46"/>
      <c r="Y158" s="46"/>
      <c r="Z158" s="46"/>
      <c r="AA158" s="46"/>
    </row>
    <row r="159">
      <c r="A159" s="55">
        <f>IFERROR(__xludf.DUMMYFUNCTION("""COMPUTED_VALUE"""),44284.67825490741)</f>
        <v>44284.67825</v>
      </c>
      <c r="B159" s="56">
        <f>IFERROR(__xludf.DUMMYFUNCTION("""COMPUTED_VALUE"""),44284.0)</f>
        <v>44284</v>
      </c>
      <c r="C159" s="59" t="str">
        <f t="shared" si="3"/>
        <v/>
      </c>
      <c r="D159" s="46" t="str">
        <f>IFERROR(__xludf.DUMMYFUNCTION("""COMPUTED_VALUE"""),"Tunt")</f>
        <v>Tunt</v>
      </c>
      <c r="E159" s="57" t="str">
        <f>IFERROR(__xludf.DUMMYFUNCTION("""COMPUTED_VALUE"""),"5310180619")</f>
        <v>5310180619</v>
      </c>
      <c r="F159" s="46" t="str">
        <f>IFERROR(__xludf.DUMMYFUNCTION("""COMPUTED_VALUE"""),"PGD Phúc Trạch, xã Hương Trà, huyện Hương Khê, tỉnh Hà Tĩnh")</f>
        <v>PGD Phúc Trạch, xã Hương Trà, huyện Hương Khê, tỉnh Hà Tĩnh</v>
      </c>
      <c r="G159" s="46" t="str">
        <f>IFERROR(__xludf.DUMMYFUNCTION("""COMPUTED_VALUE"""),"Lỗi 2-0, window báo repair")</f>
        <v>Lỗi 2-0, window báo repair</v>
      </c>
      <c r="H159" s="46"/>
      <c r="I159" s="46"/>
      <c r="J159" s="46" t="str">
        <f>IFERROR(__xludf.DUMMYFUNCTION("""COMPUTED_VALUE"""),"Gỡ tiền kẹt, off protect ổ C, phân quyền thư mục journal")</f>
        <v>Gỡ tiền kẹt, off protect ổ C, phân quyền thư mục journal</v>
      </c>
      <c r="K159" s="46"/>
      <c r="L159" s="46"/>
      <c r="M159" s="46"/>
      <c r="N159" s="46"/>
      <c r="O159" s="46"/>
      <c r="P159" s="46"/>
      <c r="Q159" s="46" t="str">
        <f>IFERROR(__xludf.DUMMYFUNCTION("""COMPUTED_VALUE"""),"Hoàn thành")</f>
        <v>Hoàn thành</v>
      </c>
      <c r="R159" s="46"/>
      <c r="S159" s="46"/>
      <c r="T159" s="46"/>
      <c r="U159" s="46"/>
      <c r="V159" s="46"/>
      <c r="W159" s="46"/>
      <c r="X159" s="46"/>
      <c r="Y159" s="46"/>
      <c r="Z159" s="46"/>
      <c r="AA159" s="46"/>
    </row>
    <row r="160">
      <c r="A160" s="55">
        <f>IFERROR(__xludf.DUMMYFUNCTION("""COMPUTED_VALUE"""),44284.70981699074)</f>
        <v>44284.70982</v>
      </c>
      <c r="B160" s="56">
        <f>IFERROR(__xludf.DUMMYFUNCTION("""COMPUTED_VALUE"""),44284.0)</f>
        <v>44284</v>
      </c>
      <c r="C160" s="59" t="str">
        <f t="shared" si="3"/>
        <v/>
      </c>
      <c r="D160" s="46" t="str">
        <f>IFERROR(__xludf.DUMMYFUNCTION("""COMPUTED_VALUE"""),"Anhhl")</f>
        <v>Anhhl</v>
      </c>
      <c r="E160" s="57" t="str">
        <f>IFERROR(__xludf.DUMMYFUNCTION("""COMPUTED_VALUE"""),"5310182921")</f>
        <v>5310182921</v>
      </c>
      <c r="F160" s="46" t="str">
        <f>IFERROR(__xludf.DUMMYFUNCTION("""COMPUTED_VALUE"""),"Khối 7 - TT Hưng Nguyên, huyện Hưng Nguyên, tỉnh Nghệ An")</f>
        <v>Khối 7 - TT Hưng Nguyên, huyện Hưng Nguyên, tỉnh Nghệ An</v>
      </c>
      <c r="G160" s="46" t="str">
        <f>IFERROR(__xludf.DUMMYFUNCTION("""COMPUTED_VALUE"""),"Lỗi bptt")</f>
        <v>Lỗi bptt</v>
      </c>
      <c r="H160" s="46"/>
      <c r="I160" s="46"/>
      <c r="J160" s="46" t="str">
        <f>IFERROR(__xludf.DUMMYFUNCTION("""COMPUTED_VALUE"""),"Vệ sinh, căn chỉnh bptt")</f>
        <v>Vệ sinh, căn chỉnh bptt</v>
      </c>
      <c r="K160" s="46"/>
      <c r="L160" s="46"/>
      <c r="M160" s="46"/>
      <c r="N160" s="46"/>
      <c r="O160" s="46"/>
      <c r="P160" s="46"/>
      <c r="Q160" s="46" t="str">
        <f>IFERROR(__xludf.DUMMYFUNCTION("""COMPUTED_VALUE"""),"Hoàn thành")</f>
        <v>Hoàn thành</v>
      </c>
      <c r="R160" s="46"/>
      <c r="S160" s="46"/>
      <c r="T160" s="46"/>
      <c r="U160" s="46"/>
      <c r="V160" s="46"/>
      <c r="W160" s="46"/>
      <c r="X160" s="46"/>
      <c r="Y160" s="46"/>
      <c r="Z160" s="46"/>
      <c r="AA160" s="46"/>
    </row>
    <row r="161">
      <c r="A161" s="55">
        <f>IFERROR(__xludf.DUMMYFUNCTION("""COMPUTED_VALUE"""),44284.71524152778)</f>
        <v>44284.71524</v>
      </c>
      <c r="B161" s="56">
        <f>IFERROR(__xludf.DUMMYFUNCTION("""COMPUTED_VALUE"""),44284.0)</f>
        <v>44284</v>
      </c>
      <c r="C161" s="59" t="str">
        <f t="shared" si="3"/>
        <v/>
      </c>
      <c r="D161" s="46" t="str">
        <f>IFERROR(__xludf.DUMMYFUNCTION("""COMPUTED_VALUE"""),"Tungns")</f>
        <v>Tungns</v>
      </c>
      <c r="E161" s="57" t="str">
        <f>IFERROR(__xludf.DUMMYFUNCTION("""COMPUTED_VALUE"""),"5310107028")</f>
        <v>5310107028</v>
      </c>
      <c r="F161" s="46" t="str">
        <f>IFERROR(__xludf.DUMMYFUNCTION("""COMPUTED_VALUE"""),"Số 43 đường Đinh Tiên Hoàng, TP. Yên Bái")</f>
        <v>Số 43 đường Đinh Tiên Hoàng, TP. Yên Bái</v>
      </c>
      <c r="G161" s="46" t="str">
        <f>IFERROR(__xludf.DUMMYFUNCTION("""COMPUTED_VALUE"""),"Lỗi bptt")</f>
        <v>Lỗi bptt</v>
      </c>
      <c r="H161" s="46"/>
      <c r="I161" s="46"/>
      <c r="J161" s="46" t="str">
        <f>IFERROR(__xludf.DUMMYFUNCTION("""COMPUTED_VALUE"""),"Lau và gia cố senser stack. Kiểm tra lại toàn bộ kết nối")</f>
        <v>Lau và gia cố senser stack. Kiểm tra lại toàn bộ kết nối</v>
      </c>
      <c r="K161" s="46"/>
      <c r="L161" s="46"/>
      <c r="M161" s="46"/>
      <c r="N161" s="46"/>
      <c r="O161" s="46"/>
      <c r="P161" s="46"/>
      <c r="Q161" s="46" t="str">
        <f>IFERROR(__xludf.DUMMYFUNCTION("""COMPUTED_VALUE"""),"Hoàn thành")</f>
        <v>Hoàn thành</v>
      </c>
      <c r="R161" s="46"/>
      <c r="S161" s="46"/>
      <c r="T161" s="46"/>
      <c r="U161" s="46"/>
      <c r="V161" s="46"/>
      <c r="W161" s="46"/>
      <c r="X161" s="46"/>
      <c r="Y161" s="46"/>
      <c r="Z161" s="46"/>
      <c r="AA161" s="46"/>
    </row>
    <row r="162">
      <c r="A162" s="55">
        <f>IFERROR(__xludf.DUMMYFUNCTION("""COMPUTED_VALUE"""),44284.758524074074)</f>
        <v>44284.75852</v>
      </c>
      <c r="B162" s="56">
        <f>IFERROR(__xludf.DUMMYFUNCTION("""COMPUTED_VALUE"""),44284.0)</f>
        <v>44284</v>
      </c>
      <c r="C162" s="59" t="str">
        <f t="shared" si="3"/>
        <v/>
      </c>
      <c r="D162" s="46" t="str">
        <f>IFERROR(__xludf.DUMMYFUNCTION("""COMPUTED_VALUE"""),"Tungns")</f>
        <v>Tungns</v>
      </c>
      <c r="E162" s="57" t="str">
        <f>IFERROR(__xludf.DUMMYFUNCTION("""COMPUTED_VALUE"""),"5300378149")</f>
        <v>5300378149</v>
      </c>
      <c r="F162" s="46" t="str">
        <f>IFERROR(__xludf.DUMMYFUNCTION("""COMPUTED_VALUE"""),"Xã Bồ Sao, Huyện Vĩnh Tường, Tỉnh Vĩnh Phúc")</f>
        <v>Xã Bồ Sao, Huyện Vĩnh Tường, Tỉnh Vĩnh Phúc</v>
      </c>
      <c r="G162" s="46" t="str">
        <f>IFERROR(__xludf.DUMMYFUNCTION("""COMPUTED_VALUE"""),"Lỗi bptt")</f>
        <v>Lỗi bptt</v>
      </c>
      <c r="H162" s="46"/>
      <c r="I162" s="46"/>
      <c r="J162" s="46" t="str">
        <f>IFERROR(__xludf.DUMMYFUNCTION("""COMPUTED_VALUE"""),"Lỗi côn điện tầng 50")</f>
        <v>Lỗi côn điện tầng 50</v>
      </c>
      <c r="K162" s="46" t="str">
        <f>IFERROR(__xludf.DUMMYFUNCTION("""COMPUTED_VALUE"""),"01 côn điện")</f>
        <v>01 côn điện</v>
      </c>
      <c r="L162" s="46"/>
      <c r="M162" s="46"/>
      <c r="N162" s="46"/>
      <c r="O162" s="46"/>
      <c r="P162" s="46"/>
      <c r="Q162" s="46" t="str">
        <f>IFERROR(__xludf.DUMMYFUNCTION("""COMPUTED_VALUE"""),"Hoàn thành")</f>
        <v>Hoàn thành</v>
      </c>
      <c r="R162" s="46"/>
      <c r="S162" s="46"/>
      <c r="T162" s="46"/>
      <c r="U162" s="46"/>
      <c r="V162" s="46"/>
      <c r="W162" s="46"/>
      <c r="X162" s="46"/>
      <c r="Y162" s="46"/>
      <c r="Z162" s="46"/>
      <c r="AA162" s="46"/>
    </row>
    <row r="163">
      <c r="A163" s="55">
        <f>IFERROR(__xludf.DUMMYFUNCTION("""COMPUTED_VALUE"""),44284.91561614584)</f>
        <v>44284.91562</v>
      </c>
      <c r="B163" s="56">
        <f>IFERROR(__xludf.DUMMYFUNCTION("""COMPUTED_VALUE"""),44284.0)</f>
        <v>44284</v>
      </c>
      <c r="C163" s="59" t="str">
        <f t="shared" si="3"/>
        <v/>
      </c>
      <c r="D163" s="46" t="str">
        <f>IFERROR(__xludf.DUMMYFUNCTION("""COMPUTED_VALUE"""),"Hieppn")</f>
        <v>Hieppn</v>
      </c>
      <c r="E163" s="57" t="str">
        <f>IFERROR(__xludf.DUMMYFUNCTION("""COMPUTED_VALUE"""),"5310107302")</f>
        <v>5310107302</v>
      </c>
      <c r="F163" s="46" t="str">
        <f>IFERROR(__xludf.DUMMYFUNCTION("""COMPUTED_VALUE"""),"PGD Hương Xạ, xã hương Xạ, huyện Hạ Hoà, tỉnh Phú Thọ")</f>
        <v>PGD Hương Xạ, xã hương Xạ, huyện Hạ Hoà, tỉnh Phú Thọ</v>
      </c>
      <c r="G163" s="46" t="str">
        <f>IFERROR(__xludf.DUMMYFUNCTION("""COMPUTED_VALUE"""),"Lỗi bộ trả tiền ")</f>
        <v>Lỗi bộ trả tiền </v>
      </c>
      <c r="H163" s="46"/>
      <c r="I163" s="46"/>
      <c r="J163" s="46" t="str">
        <f>IFERROR(__xludf.DUMMYFUNCTION("""COMPUTED_VALUE"""),"Thay thế")</f>
        <v>Thay thế</v>
      </c>
      <c r="K163" s="46" t="str">
        <f>IFERROR(__xludf.DUMMYFUNCTION("""COMPUTED_VALUE"""),"03 trục miết tiền")</f>
        <v>03 trục miết tiền</v>
      </c>
      <c r="L163" s="46" t="str">
        <f>IFERROR(__xludf.DUMMYFUNCTION("""COMPUTED_VALUE"""),"02 răng lược ")</f>
        <v>02 răng lược </v>
      </c>
      <c r="M163" s="46" t="str">
        <f>IFERROR(__xludf.DUMMYFUNCTION("""COMPUTED_VALUE"""),"01 presentor")</f>
        <v>01 presentor</v>
      </c>
      <c r="N163" s="46"/>
      <c r="O163" s="46"/>
      <c r="P163" s="46"/>
      <c r="Q163" s="46" t="str">
        <f>IFERROR(__xludf.DUMMYFUNCTION("""COMPUTED_VALUE"""),"Hoàn thành")</f>
        <v>Hoàn thành</v>
      </c>
      <c r="R163" s="46"/>
      <c r="S163" s="46"/>
      <c r="T163" s="46"/>
      <c r="U163" s="46"/>
      <c r="V163" s="46"/>
      <c r="W163" s="46"/>
      <c r="X163" s="46"/>
      <c r="Y163" s="46"/>
      <c r="Z163" s="46"/>
      <c r="AA163" s="46"/>
    </row>
    <row r="164">
      <c r="A164" s="55">
        <f>IFERROR(__xludf.DUMMYFUNCTION("""COMPUTED_VALUE"""),44285.68075234954)</f>
        <v>44285.68075</v>
      </c>
      <c r="B164" s="56">
        <f>IFERROR(__xludf.DUMMYFUNCTION("""COMPUTED_VALUE"""),44285.0)</f>
        <v>44285</v>
      </c>
      <c r="C164" s="59" t="str">
        <f t="shared" si="3"/>
        <v/>
      </c>
      <c r="D164" s="46" t="str">
        <f>IFERROR(__xludf.DUMMYFUNCTION("""COMPUTED_VALUE"""),"Tungns")</f>
        <v>Tungns</v>
      </c>
      <c r="E164" s="57" t="str">
        <f>IFERROR(__xludf.DUMMYFUNCTION("""COMPUTED_VALUE"""),"5300380006")</f>
        <v>5300380006</v>
      </c>
      <c r="F164" s="46" t="str">
        <f>IFERROR(__xludf.DUMMYFUNCTION("""COMPUTED_VALUE"""),"NHNo Tứ Kỳ - Đường 391 H. Tứ Kỳ - T. Hải Dương")</f>
        <v>NHNo Tứ Kỳ - Đường 391 H. Tứ Kỳ - T. Hải Dương</v>
      </c>
      <c r="G164" s="46" t="str">
        <f>IFERROR(__xludf.DUMMYFUNCTION("""COMPUTED_VALUE"""),"Không nhận khay tiền")</f>
        <v>Không nhận khay tiền</v>
      </c>
      <c r="H164" s="46"/>
      <c r="I164" s="46" t="str">
        <f>IFERROR(__xludf.DUMMYFUNCTION("""COMPUTED_VALUE"""),"Bảo trì")</f>
        <v>Bảo trì</v>
      </c>
      <c r="J164" s="46" t="str">
        <f>IFERROR(__xludf.DUMMYFUNCTION("""COMPUTED_VALUE"""),"Bảo trì máy ")</f>
        <v>Bảo trì máy </v>
      </c>
      <c r="K164" s="46"/>
      <c r="L164" s="46"/>
      <c r="M164" s="46"/>
      <c r="N164" s="46"/>
      <c r="O164" s="46"/>
      <c r="P164" s="46"/>
      <c r="Q164" s="46" t="str">
        <f>IFERROR(__xludf.DUMMYFUNCTION("""COMPUTED_VALUE"""),"Hoàn thành")</f>
        <v>Hoàn thành</v>
      </c>
      <c r="R164" s="46"/>
      <c r="S164" s="46"/>
      <c r="T164" s="46"/>
      <c r="U164" s="46"/>
      <c r="V164" s="46"/>
      <c r="W164" s="46"/>
      <c r="X164" s="46"/>
      <c r="Y164" s="46"/>
      <c r="Z164" s="46"/>
      <c r="AA164" s="46"/>
    </row>
    <row r="165">
      <c r="A165" s="55">
        <f>IFERROR(__xludf.DUMMYFUNCTION("""COMPUTED_VALUE"""),44285.86523818287)</f>
        <v>44285.86524</v>
      </c>
      <c r="B165" s="56">
        <f>IFERROR(__xludf.DUMMYFUNCTION("""COMPUTED_VALUE"""),44285.0)</f>
        <v>44285</v>
      </c>
      <c r="C165" s="59" t="str">
        <f t="shared" si="3"/>
        <v/>
      </c>
      <c r="D165" s="46" t="str">
        <f>IFERROR(__xludf.DUMMYFUNCTION("""COMPUTED_VALUE"""),"Anhhl")</f>
        <v>Anhhl</v>
      </c>
      <c r="E165" s="57" t="str">
        <f>IFERROR(__xludf.DUMMYFUNCTION("""COMPUTED_VALUE"""),"5310107015")</f>
        <v>5310107015</v>
      </c>
      <c r="F165" s="46" t="str">
        <f>IFERROR(__xludf.DUMMYFUNCTION("""COMPUTED_VALUE"""),"NHNN Yên Lạc, TT Yên Lạc, H. Yên Lạc, T. Vĩnh Phúc")</f>
        <v>NHNN Yên Lạc, TT Yên Lạc, H. Yên Lạc, T. Vĩnh Phúc</v>
      </c>
      <c r="G165" s="46" t="str">
        <f>IFERROR(__xludf.DUMMYFUNCTION("""COMPUTED_VALUE"""),"Bảo trì")</f>
        <v>Bảo trì</v>
      </c>
      <c r="H165" s="46"/>
      <c r="I165" s="46" t="str">
        <f>IFERROR(__xludf.DUMMYFUNCTION("""COMPUTED_VALUE"""),"Bảo trì")</f>
        <v>Bảo trì</v>
      </c>
      <c r="J165" s="46" t="str">
        <f>IFERROR(__xludf.DUMMYFUNCTION("""COMPUTED_VALUE"""),"Vệ sinh, lau chùi ")</f>
        <v>Vệ sinh, lau chùi </v>
      </c>
      <c r="K165" s="46"/>
      <c r="L165" s="46"/>
      <c r="M165" s="46"/>
      <c r="N165" s="46"/>
      <c r="O165" s="46"/>
      <c r="P165" s="46"/>
      <c r="Q165" s="46" t="str">
        <f>IFERROR(__xludf.DUMMYFUNCTION("""COMPUTED_VALUE"""),"Hoàn thành")</f>
        <v>Hoàn thành</v>
      </c>
      <c r="R165" s="46"/>
      <c r="S165" s="46"/>
      <c r="T165" s="46"/>
      <c r="U165" s="46"/>
      <c r="V165" s="46"/>
      <c r="W165" s="46"/>
      <c r="X165" s="46"/>
      <c r="Y165" s="46"/>
      <c r="Z165" s="46"/>
      <c r="AA165" s="46"/>
    </row>
    <row r="166">
      <c r="A166" s="55">
        <f>IFERROR(__xludf.DUMMYFUNCTION("""COMPUTED_VALUE"""),44286.63916722222)</f>
        <v>44286.63917</v>
      </c>
      <c r="B166" s="56">
        <f>IFERROR(__xludf.DUMMYFUNCTION("""COMPUTED_VALUE"""),44286.0)</f>
        <v>44286</v>
      </c>
      <c r="C166" s="59" t="str">
        <f t="shared" si="3"/>
        <v/>
      </c>
      <c r="D166" s="46" t="str">
        <f>IFERROR(__xludf.DUMMYFUNCTION("""COMPUTED_VALUE"""),"Tungns")</f>
        <v>Tungns</v>
      </c>
      <c r="E166" s="57" t="str">
        <f>IFERROR(__xludf.DUMMYFUNCTION("""COMPUTED_VALUE"""),"5300378321")</f>
        <v>5300378321</v>
      </c>
      <c r="F166" s="46" t="str">
        <f>IFERROR(__xludf.DUMMYFUNCTION("""COMPUTED_VALUE"""),"Thôn Đại Bái - Xã Đại Thịnh - Mê Linh - Hà Nội")</f>
        <v>Thôn Đại Bái - Xã Đại Thịnh - Mê Linh - Hà Nội</v>
      </c>
      <c r="G166" s="46" t="str">
        <f>IFERROR(__xludf.DUMMYFUNCTION("""COMPUTED_VALUE"""),"Bptt")</f>
        <v>Bptt</v>
      </c>
      <c r="H166" s="46"/>
      <c r="I166" s="46" t="str">
        <f>IFERROR(__xludf.DUMMYFUNCTION("""COMPUTED_VALUE"""),"Bảo trì")</f>
        <v>Bảo trì</v>
      </c>
      <c r="J166" s="46" t="str">
        <f>IFERROR(__xludf.DUMMYFUNCTION("""COMPUTED_VALUE"""),"Bảo trì, mất phanh grap, gia cố tạm bằng dây đồng")</f>
        <v>Bảo trì, mất phanh grap, gia cố tạm bằng dây đồng</v>
      </c>
      <c r="K166" s="46"/>
      <c r="L166" s="46"/>
      <c r="M166" s="46"/>
      <c r="N166" s="46"/>
      <c r="O166" s="46"/>
      <c r="P166" s="46"/>
      <c r="Q166" s="46" t="str">
        <f>IFERROR(__xludf.DUMMYFUNCTION("""COMPUTED_VALUE"""),"Hoàn thành")</f>
        <v>Hoàn thành</v>
      </c>
      <c r="R166" s="46"/>
      <c r="S166" s="46"/>
      <c r="T166" s="46"/>
      <c r="U166" s="46"/>
      <c r="V166" s="46"/>
      <c r="W166" s="46"/>
      <c r="X166" s="46"/>
      <c r="Y166" s="46"/>
      <c r="Z166" s="46"/>
      <c r="AA166" s="46"/>
    </row>
    <row r="167">
      <c r="A167" s="55">
        <f>IFERROR(__xludf.DUMMYFUNCTION("""COMPUTED_VALUE"""),44286.91435396991)</f>
        <v>44286.91435</v>
      </c>
      <c r="B167" s="56">
        <f>IFERROR(__xludf.DUMMYFUNCTION("""COMPUTED_VALUE"""),44286.0)</f>
        <v>44286</v>
      </c>
      <c r="C167" s="59" t="str">
        <f t="shared" si="3"/>
        <v/>
      </c>
      <c r="D167" s="46" t="str">
        <f>IFERROR(__xludf.DUMMYFUNCTION("""COMPUTED_VALUE"""),"Anhhl")</f>
        <v>Anhhl</v>
      </c>
      <c r="E167" s="57" t="str">
        <f>IFERROR(__xludf.DUMMYFUNCTION("""COMPUTED_VALUE"""),"5300378911")</f>
        <v>5300378911</v>
      </c>
      <c r="F167" s="46" t="str">
        <f>IFERROR(__xludf.DUMMYFUNCTION("""COMPUTED_VALUE"""),"Thị trấn Ân Thi - H. Ân Thi - Hưng Yên")</f>
        <v>Thị trấn Ân Thi - H. Ân Thi - Hưng Yên</v>
      </c>
      <c r="G167" s="46" t="str">
        <f>IFERROR(__xludf.DUMMYFUNCTION("""COMPUTED_VALUE"""),"Lỗi bptt và bảo trì")</f>
        <v>Lỗi bptt và bảo trì</v>
      </c>
      <c r="H167" s="46"/>
      <c r="I167" s="46" t="str">
        <f>IFERROR(__xludf.DUMMYFUNCTION("""COMPUTED_VALUE"""),"Bảo trì")</f>
        <v>Bảo trì</v>
      </c>
      <c r="J167" s="46"/>
      <c r="K167" s="46"/>
      <c r="L167" s="46"/>
      <c r="M167" s="46"/>
      <c r="N167" s="46"/>
      <c r="O167" s="46"/>
      <c r="P167" s="46"/>
      <c r="Q167" s="46" t="str">
        <f>IFERROR(__xludf.DUMMYFUNCTION("""COMPUTED_VALUE"""),"Hoàn thành")</f>
        <v>Hoàn thành</v>
      </c>
      <c r="R167" s="46"/>
      <c r="S167" s="46"/>
      <c r="T167" s="46"/>
      <c r="U167" s="46"/>
      <c r="V167" s="46"/>
      <c r="W167" s="46"/>
      <c r="X167" s="46"/>
      <c r="Y167" s="46"/>
      <c r="Z167" s="46"/>
      <c r="AA167" s="46"/>
    </row>
    <row r="168">
      <c r="A168" s="55">
        <f>IFERROR(__xludf.DUMMYFUNCTION("""COMPUTED_VALUE"""),44287.446622013886)</f>
        <v>44287.44662</v>
      </c>
      <c r="B168" s="56">
        <f>IFERROR(__xludf.DUMMYFUNCTION("""COMPUTED_VALUE"""),44279.0)</f>
        <v>44279</v>
      </c>
      <c r="C168" s="59" t="str">
        <f t="shared" si="3"/>
        <v>Báo cáo muộn</v>
      </c>
      <c r="D168" s="46" t="str">
        <f>IFERROR(__xludf.DUMMYFUNCTION("""COMPUTED_VALUE"""),"thangnx")</f>
        <v>thangnx</v>
      </c>
      <c r="E168" s="57" t="str">
        <f>IFERROR(__xludf.DUMMYFUNCTION("""COMPUTED_VALUE"""),"5300378911")</f>
        <v>5300378911</v>
      </c>
      <c r="F168" s="46" t="str">
        <f>IFERROR(__xludf.DUMMYFUNCTION("""COMPUTED_VALUE"""),"Thị trấn Ân Thi - H. Ân Thi - Hưng Yên")</f>
        <v>Thị trấn Ân Thi - H. Ân Thi - Hưng Yên</v>
      </c>
      <c r="G168" s="46" t="str">
        <f>IFERROR(__xludf.DUMMYFUNCTION("""COMPUTED_VALUE"""),"Lỗi BPTT")</f>
        <v>Lỗi BPTT</v>
      </c>
      <c r="H168" s="46"/>
      <c r="I168" s="46"/>
      <c r="J168" s="46" t="str">
        <f>IFERROR(__xludf.DUMMYFUNCTION("""COMPUTED_VALUE"""),"Vệ sinh, lau chùi, chỉnh ghép")</f>
        <v>Vệ sinh, lau chùi, chỉnh ghép</v>
      </c>
      <c r="K168" s="46"/>
      <c r="L168" s="46"/>
      <c r="M168" s="46"/>
      <c r="N168" s="46"/>
      <c r="O168" s="46"/>
      <c r="P168" s="46"/>
      <c r="Q168" s="46" t="str">
        <f>IFERROR(__xludf.DUMMYFUNCTION("""COMPUTED_VALUE"""),"Hoàn thành")</f>
        <v>Hoàn thành</v>
      </c>
      <c r="R168" s="46"/>
      <c r="S168" s="46"/>
      <c r="T168" s="46"/>
      <c r="U168" s="46"/>
      <c r="V168" s="46"/>
      <c r="W168" s="46"/>
      <c r="X168" s="46"/>
      <c r="Y168" s="46"/>
      <c r="Z168" s="46"/>
      <c r="AA168" s="46"/>
    </row>
    <row r="169">
      <c r="A169" s="55">
        <f>IFERROR(__xludf.DUMMYFUNCTION("""COMPUTED_VALUE"""),44287.44720841435)</f>
        <v>44287.44721</v>
      </c>
      <c r="B169" s="56">
        <f>IFERROR(__xludf.DUMMYFUNCTION("""COMPUTED_VALUE"""),44280.0)</f>
        <v>44280</v>
      </c>
      <c r="C169" s="59" t="str">
        <f t="shared" si="3"/>
        <v>Báo cáo muộn</v>
      </c>
      <c r="D169" s="46" t="str">
        <f>IFERROR(__xludf.DUMMYFUNCTION("""COMPUTED_VALUE"""),"thangnx")</f>
        <v>thangnx</v>
      </c>
      <c r="E169" s="57" t="str">
        <f>IFERROR(__xludf.DUMMYFUNCTION("""COMPUTED_VALUE"""),"5300381788")</f>
        <v>5300381788</v>
      </c>
      <c r="F169" s="46" t="str">
        <f>IFERROR(__xludf.DUMMYFUNCTION("""COMPUTED_VALUE"""),"146 phố Môi, thị trấn Môi, Thanh Hóa")</f>
        <v>146 phố Môi, thị trấn Môi, Thanh Hóa</v>
      </c>
      <c r="G169" s="46" t="str">
        <f>IFERROR(__xludf.DUMMYFUNCTION("""COMPUTED_VALUE"""),"Tiền loại nhiều")</f>
        <v>Tiền loại nhiều</v>
      </c>
      <c r="H169" s="46"/>
      <c r="I169" s="46"/>
      <c r="J169" s="46"/>
      <c r="K169" s="46" t="str">
        <f>IFERROR(__xludf.DUMMYFUNCTION("""COMPUTED_VALUE"""),"02 trục pick")</f>
        <v>02 trục pick</v>
      </c>
      <c r="L169" s="46"/>
      <c r="M169" s="46"/>
      <c r="N169" s="46"/>
      <c r="O169" s="46"/>
      <c r="P169" s="46"/>
      <c r="Q169" s="46" t="str">
        <f>IFERROR(__xludf.DUMMYFUNCTION("""COMPUTED_VALUE"""),"Hoàn thành")</f>
        <v>Hoàn thành</v>
      </c>
      <c r="R169" s="46"/>
      <c r="S169" s="46"/>
      <c r="T169" s="46"/>
      <c r="U169" s="46"/>
      <c r="V169" s="46"/>
      <c r="W169" s="46"/>
      <c r="X169" s="46"/>
      <c r="Y169" s="46"/>
      <c r="Z169" s="46"/>
      <c r="AA169" s="46"/>
    </row>
    <row r="170">
      <c r="A170" s="55">
        <f>IFERROR(__xludf.DUMMYFUNCTION("""COMPUTED_VALUE"""),44287.44797907407)</f>
        <v>44287.44798</v>
      </c>
      <c r="B170" s="56">
        <f>IFERROR(__xludf.DUMMYFUNCTION("""COMPUTED_VALUE"""),44284.0)</f>
        <v>44284</v>
      </c>
      <c r="C170" s="59" t="str">
        <f t="shared" si="3"/>
        <v>Báo cáo muộn</v>
      </c>
      <c r="D170" s="46" t="str">
        <f>IFERROR(__xludf.DUMMYFUNCTION("""COMPUTED_VALUE"""),"thangnx")</f>
        <v>thangnx</v>
      </c>
      <c r="E170" s="57" t="str">
        <f>IFERROR(__xludf.DUMMYFUNCTION("""COMPUTED_VALUE"""),"5310106144")</f>
        <v>5310106144</v>
      </c>
      <c r="F170" s="46" t="str">
        <f>IFERROR(__xludf.DUMMYFUNCTION("""COMPUTED_VALUE"""),"Số 287 Đường Trần Hưng Đạo, Phố Kinh Hạ, thị Trấn Kinh Môn, huyện Kinh Môn, Hải Dương")</f>
        <v>Số 287 Đường Trần Hưng Đạo, Phố Kinh Hạ, thị Trấn Kinh Môn, huyện Kinh Môn, Hải Dương</v>
      </c>
      <c r="G170" s="46" t="str">
        <f>IFERROR(__xludf.DUMMYFUNCTION("""COMPUTED_VALUE"""),"lỗi 2-0")</f>
        <v>lỗi 2-0</v>
      </c>
      <c r="H170" s="46"/>
      <c r="I170" s="46"/>
      <c r="J170" s="46" t="str">
        <f>IFERROR(__xludf.DUMMYFUNCTION("""COMPUTED_VALUE"""),"Gỡ tiền kẹt, vệ sinh lau chùi máy")</f>
        <v>Gỡ tiền kẹt, vệ sinh lau chùi máy</v>
      </c>
      <c r="K170" s="46"/>
      <c r="L170" s="46"/>
      <c r="M170" s="46"/>
      <c r="N170" s="46"/>
      <c r="O170" s="46"/>
      <c r="P170" s="46" t="str">
        <f>IFERROR(__xludf.DUMMYFUNCTION("""COMPUTED_VALUE"""),"Mất lò xo ở miếng nhựa trong")</f>
        <v>Mất lò xo ở miếng nhựa trong</v>
      </c>
      <c r="Q170" s="46" t="str">
        <f>IFERROR(__xludf.DUMMYFUNCTION("""COMPUTED_VALUE"""),"Hoàn thành")</f>
        <v>Hoàn thành</v>
      </c>
      <c r="R170" s="46"/>
      <c r="S170" s="46"/>
      <c r="T170" s="46"/>
      <c r="U170" s="46"/>
      <c r="V170" s="46"/>
      <c r="W170" s="46"/>
      <c r="X170" s="46"/>
      <c r="Y170" s="46"/>
      <c r="Z170" s="46"/>
      <c r="AA170" s="46"/>
    </row>
    <row r="171">
      <c r="A171" s="55">
        <f>IFERROR(__xludf.DUMMYFUNCTION("""COMPUTED_VALUE"""),44287.448626377314)</f>
        <v>44287.44863</v>
      </c>
      <c r="B171" s="56">
        <f>IFERROR(__xludf.DUMMYFUNCTION("""COMPUTED_VALUE"""),44285.0)</f>
        <v>44285</v>
      </c>
      <c r="C171" s="59" t="str">
        <f t="shared" si="3"/>
        <v>Báo cáo muộn</v>
      </c>
      <c r="D171" s="46" t="str">
        <f>IFERROR(__xludf.DUMMYFUNCTION("""COMPUTED_VALUE"""),"thangnx")</f>
        <v>thangnx</v>
      </c>
      <c r="E171" s="57" t="str">
        <f>IFERROR(__xludf.DUMMYFUNCTION("""COMPUTED_VALUE"""),"5300380763")</f>
        <v>5300380763</v>
      </c>
      <c r="F171" s="46" t="str">
        <f>IFERROR(__xludf.DUMMYFUNCTION("""COMPUTED_VALUE"""),"Phố Phúc Lâm - Thị trấn An Lưu - H. Kinh Môn - T. Hải Dương")</f>
        <v>Phố Phúc Lâm - Thị trấn An Lưu - H. Kinh Môn - T. Hải Dương</v>
      </c>
      <c r="G171" s="46" t="str">
        <f>IFERROR(__xludf.DUMMYFUNCTION("""COMPUTED_VALUE"""),"Lỗi Card Reader, Lỗi bptt")</f>
        <v>Lỗi Card Reader, Lỗi bptt</v>
      </c>
      <c r="H171" s="46"/>
      <c r="I171" s="46"/>
      <c r="J171" s="46"/>
      <c r="K171" s="46" t="str">
        <f>IFERROR(__xludf.DUMMYFUNCTION("""COMPUTED_VALUE"""),"01 đầu đọc thẻ")</f>
        <v>01 đầu đọc thẻ</v>
      </c>
      <c r="L171" s="46" t="str">
        <f>IFERROR(__xludf.DUMMYFUNCTION("""COMPUTED_VALUE"""),"01 bo ngang")</f>
        <v>01 bo ngang</v>
      </c>
      <c r="M171" s="46"/>
      <c r="N171" s="46"/>
      <c r="O171" s="46"/>
      <c r="P171" s="46"/>
      <c r="Q171" s="46" t="str">
        <f>IFERROR(__xludf.DUMMYFUNCTION("""COMPUTED_VALUE"""),"Hoàn thành")</f>
        <v>Hoàn thành</v>
      </c>
      <c r="R171" s="46"/>
      <c r="S171" s="46"/>
      <c r="T171" s="46"/>
      <c r="U171" s="46"/>
      <c r="V171" s="46"/>
      <c r="W171" s="46"/>
      <c r="X171" s="46"/>
      <c r="Y171" s="46"/>
      <c r="Z171" s="46"/>
      <c r="AA171" s="46"/>
    </row>
    <row r="172">
      <c r="A172" s="55">
        <f>IFERROR(__xludf.DUMMYFUNCTION("""COMPUTED_VALUE"""),44287.44931678241)</f>
        <v>44287.44932</v>
      </c>
      <c r="B172" s="56">
        <f>IFERROR(__xludf.DUMMYFUNCTION("""COMPUTED_VALUE"""),44286.0)</f>
        <v>44286</v>
      </c>
      <c r="C172" s="59" t="str">
        <f t="shared" si="3"/>
        <v/>
      </c>
      <c r="D172" s="46" t="str">
        <f>IFERROR(__xludf.DUMMYFUNCTION("""COMPUTED_VALUE"""),"thangnx")</f>
        <v>thangnx</v>
      </c>
      <c r="E172" s="57" t="str">
        <f>IFERROR(__xludf.DUMMYFUNCTION("""COMPUTED_VALUE"""),"5310180603")</f>
        <v>5310180603</v>
      </c>
      <c r="F172" s="46" t="str">
        <f>IFERROR(__xludf.DUMMYFUNCTION("""COMPUTED_VALUE"""),"Khu 2, TT Lam Sơn, H Thọ Xuân, tỉnh Thanh Hóa")</f>
        <v>Khu 2, TT Lam Sơn, H Thọ Xuân, tỉnh Thanh Hóa</v>
      </c>
      <c r="G172" s="46" t="str">
        <f>IFERROR(__xludf.DUMMYFUNCTION("""COMPUTED_VALUE"""),"Tiền loại nhiều")</f>
        <v>Tiền loại nhiều</v>
      </c>
      <c r="H172" s="46"/>
      <c r="I172" s="46"/>
      <c r="J172" s="46" t="str">
        <f>IFERROR(__xludf.DUMMYFUNCTION("""COMPUTED_VALUE"""),"Đổi ghép C")</f>
        <v>Đổi ghép C</v>
      </c>
      <c r="K172" s="46" t="str">
        <f>IFERROR(__xludf.DUMMYFUNCTION("""COMPUTED_VALUE"""),"02 trục pick")</f>
        <v>02 trục pick</v>
      </c>
      <c r="L172" s="46"/>
      <c r="M172" s="46"/>
      <c r="N172" s="46"/>
      <c r="O172" s="46"/>
      <c r="P172" s="46"/>
      <c r="Q172" s="46" t="str">
        <f>IFERROR(__xludf.DUMMYFUNCTION("""COMPUTED_VALUE"""),"Hoàn thành")</f>
        <v>Hoàn thành</v>
      </c>
      <c r="R172" s="46"/>
      <c r="S172" s="46"/>
      <c r="T172" s="46"/>
      <c r="U172" s="46"/>
      <c r="V172" s="46"/>
      <c r="W172" s="46"/>
      <c r="X172" s="46"/>
      <c r="Y172" s="46"/>
      <c r="Z172" s="46"/>
      <c r="AA172" s="46"/>
    </row>
    <row r="173">
      <c r="A173" s="55">
        <f>IFERROR(__xludf.DUMMYFUNCTION("""COMPUTED_VALUE"""),44287.45094876157)</f>
        <v>44287.45095</v>
      </c>
      <c r="B173" s="56">
        <f>IFERROR(__xludf.DUMMYFUNCTION("""COMPUTED_VALUE"""),44287.0)</f>
        <v>44287</v>
      </c>
      <c r="C173" s="59" t="str">
        <f t="shared" si="3"/>
        <v/>
      </c>
      <c r="D173" s="46" t="str">
        <f>IFERROR(__xludf.DUMMYFUNCTION("""COMPUTED_VALUE"""),"Duclb")</f>
        <v>Duclb</v>
      </c>
      <c r="E173" s="57" t="str">
        <f>IFERROR(__xludf.DUMMYFUNCTION("""COMPUTED_VALUE"""),"56HG707950")</f>
        <v>56HG707950</v>
      </c>
      <c r="F173" s="46" t="str">
        <f>IFERROR(__xludf.DUMMYFUNCTION("""COMPUTED_VALUE"""),"Km6 Đại lộ Thăng Long, Phường Tây Mỗ, Quận Nam Từ Liêm, TP Hà Nội")</f>
        <v>Km6 Đại lộ Thăng Long, Phường Tây Mỗ, Quận Nam Từ Liêm, TP Hà Nội</v>
      </c>
      <c r="G173" s="46" t="str">
        <f>IFERROR(__xludf.DUMMYFUNCTION("""COMPUTED_VALUE"""),"Lỗi đầu đọc thẻ")</f>
        <v>Lỗi đầu đọc thẻ</v>
      </c>
      <c r="H173" s="46"/>
      <c r="I173" s="46"/>
      <c r="J173" s="46" t="str">
        <f>IFERROR(__xludf.DUMMYFUNCTION("""COMPUTED_VALUE"""),"Xoá log gây đầy ổ cứng. ")</f>
        <v>Xoá log gây đầy ổ cứng. </v>
      </c>
      <c r="K173" s="46"/>
      <c r="L173" s="46"/>
      <c r="M173" s="46"/>
      <c r="N173" s="46"/>
      <c r="O173" s="46"/>
      <c r="P173" s="46"/>
      <c r="Q173" s="46" t="str">
        <f>IFERROR(__xludf.DUMMYFUNCTION("""COMPUTED_VALUE"""),"Hoàn thành")</f>
        <v>Hoàn thành</v>
      </c>
      <c r="R173" s="46"/>
      <c r="S173" s="46"/>
      <c r="T173" s="46"/>
      <c r="U173" s="46"/>
      <c r="V173" s="46"/>
      <c r="W173" s="46"/>
      <c r="X173" s="46"/>
      <c r="Y173" s="46"/>
      <c r="Z173" s="46"/>
      <c r="AA173" s="46"/>
    </row>
    <row r="174">
      <c r="A174" s="55">
        <f>IFERROR(__xludf.DUMMYFUNCTION("""COMPUTED_VALUE"""),44287.45132146991)</f>
        <v>44287.45132</v>
      </c>
      <c r="B174" s="56">
        <f>IFERROR(__xludf.DUMMYFUNCTION("""COMPUTED_VALUE"""),44287.0)</f>
        <v>44287</v>
      </c>
      <c r="C174" s="59" t="str">
        <f t="shared" si="3"/>
        <v/>
      </c>
      <c r="D174" s="46" t="str">
        <f>IFERROR(__xludf.DUMMYFUNCTION("""COMPUTED_VALUE"""),"thangnx")</f>
        <v>thangnx</v>
      </c>
      <c r="E174" s="57" t="str">
        <f>IFERROR(__xludf.DUMMYFUNCTION("""COMPUTED_VALUE"""),"5310106163")</f>
        <v>5310106163</v>
      </c>
      <c r="F174" s="46" t="str">
        <f>IFERROR(__xludf.DUMMYFUNCTION("""COMPUTED_VALUE"""),"Số 12, xã Nhật Tân, H. Kim Bảng,   Hà Nam")</f>
        <v>Số 12, xã Nhật Tân, H. Kim Bảng,   Hà Nam</v>
      </c>
      <c r="G174" s="46" t="str">
        <f>IFERROR(__xludf.DUMMYFUNCTION("""COMPUTED_VALUE"""),"Bảo trì")</f>
        <v>Bảo trì</v>
      </c>
      <c r="H174" s="46"/>
      <c r="I174" s="46"/>
      <c r="J174" s="46"/>
      <c r="K174" s="46"/>
      <c r="L174" s="46"/>
      <c r="M174" s="46"/>
      <c r="N174" s="46"/>
      <c r="O174" s="46"/>
      <c r="P174" s="46"/>
      <c r="Q174" s="46" t="str">
        <f>IFERROR(__xludf.DUMMYFUNCTION("""COMPUTED_VALUE"""),"Hoàn thành")</f>
        <v>Hoàn thành</v>
      </c>
      <c r="R174" s="46"/>
      <c r="S174" s="46"/>
      <c r="T174" s="46"/>
      <c r="U174" s="46"/>
      <c r="V174" s="46"/>
      <c r="W174" s="46"/>
      <c r="X174" s="46"/>
      <c r="Y174" s="46"/>
      <c r="Z174" s="46"/>
      <c r="AA174" s="46"/>
    </row>
    <row r="175">
      <c r="A175" s="55">
        <f>IFERROR(__xludf.DUMMYFUNCTION("""COMPUTED_VALUE"""),44288.39264289352)</f>
        <v>44288.39264</v>
      </c>
      <c r="B175" s="56">
        <f>IFERROR(__xludf.DUMMYFUNCTION("""COMPUTED_VALUE"""),44286.0)</f>
        <v>44286</v>
      </c>
      <c r="C175" s="59" t="str">
        <f t="shared" si="3"/>
        <v>Báo cáo muộn</v>
      </c>
      <c r="D175" s="46" t="str">
        <f>IFERROR(__xludf.DUMMYFUNCTION("""COMPUTED_VALUE"""),"tunt")</f>
        <v>tunt</v>
      </c>
      <c r="E175" s="57" t="str">
        <f>IFERROR(__xludf.DUMMYFUNCTION("""COMPUTED_VALUE"""),"5300378007")</f>
        <v>5300378007</v>
      </c>
      <c r="F175" s="46" t="str">
        <f>IFERROR(__xludf.DUMMYFUNCTION("""COMPUTED_VALUE"""),"Khu 11 - Thị trấn Thanh Ba - H.Thanh Ba - Phú Thọ")</f>
        <v>Khu 11 - Thị trấn Thanh Ba - H.Thanh Ba - Phú Thọ</v>
      </c>
      <c r="G175" s="46" t="str">
        <f>IFERROR(__xludf.DUMMYFUNCTION("""COMPUTED_VALUE"""),"Lỗi máy in biên lai")</f>
        <v>Lỗi máy in biên lai</v>
      </c>
      <c r="H175" s="46"/>
      <c r="I175" s="46"/>
      <c r="J175" s="46" t="str">
        <f>IFERROR(__xludf.DUMMYFUNCTION("""COMPUTED_VALUE"""),"thay thế con lăn cao su")</f>
        <v>thay thế con lăn cao su</v>
      </c>
      <c r="K175" s="46"/>
      <c r="L175" s="46"/>
      <c r="M175" s="46"/>
      <c r="N175" s="46"/>
      <c r="O175" s="46"/>
      <c r="P175" s="46"/>
      <c r="Q175" s="46" t="str">
        <f>IFERROR(__xludf.DUMMYFUNCTION("""COMPUTED_VALUE"""),"Hoàn thành")</f>
        <v>Hoàn thành</v>
      </c>
      <c r="R175" s="46"/>
      <c r="S175" s="46"/>
      <c r="T175" s="46"/>
      <c r="U175" s="46"/>
      <c r="V175" s="46"/>
      <c r="W175" s="46"/>
      <c r="X175" s="46"/>
      <c r="Y175" s="46"/>
      <c r="Z175" s="46"/>
      <c r="AA175" s="46"/>
    </row>
    <row r="176">
      <c r="A176" s="55">
        <f>IFERROR(__xludf.DUMMYFUNCTION("""COMPUTED_VALUE"""),44288.393501342594)</f>
        <v>44288.3935</v>
      </c>
      <c r="B176" s="56">
        <f>IFERROR(__xludf.DUMMYFUNCTION("""COMPUTED_VALUE"""),44286.0)</f>
        <v>44286</v>
      </c>
      <c r="C176" s="59" t="str">
        <f t="shared" si="3"/>
        <v>Báo cáo muộn</v>
      </c>
      <c r="D176" s="46" t="str">
        <f>IFERROR(__xludf.DUMMYFUNCTION("""COMPUTED_VALUE"""),"tunt")</f>
        <v>tunt</v>
      </c>
      <c r="E176" s="57" t="str">
        <f>IFERROR(__xludf.DUMMYFUNCTION("""COMPUTED_VALUE"""),"56du401022")</f>
        <v>56du401022</v>
      </c>
      <c r="F176" s="46" t="str">
        <f>IFERROR(__xludf.DUMMYFUNCTION("""COMPUTED_VALUE"""),"")</f>
        <v/>
      </c>
      <c r="G176" s="46" t="str">
        <f>IFERROR(__xludf.DUMMYFUNCTION("""COMPUTED_VALUE"""),"Bảo trì, lỗi máy in biên lai")</f>
        <v>Bảo trì, lỗi máy in biên lai</v>
      </c>
      <c r="H176" s="46"/>
      <c r="I176" s="46" t="str">
        <f>IFERROR(__xludf.DUMMYFUNCTION("""COMPUTED_VALUE"""),"Bảo trì")</f>
        <v>Bảo trì</v>
      </c>
      <c r="J176" s="46" t="str">
        <f>IFERROR(__xludf.DUMMYFUNCTION("""COMPUTED_VALUE"""),"thay thế con lăn cao su")</f>
        <v>thay thế con lăn cao su</v>
      </c>
      <c r="K176" s="46"/>
      <c r="L176" s="46"/>
      <c r="M176" s="46"/>
      <c r="N176" s="46"/>
      <c r="O176" s="46"/>
      <c r="P176" s="46"/>
      <c r="Q176" s="46" t="str">
        <f>IFERROR(__xludf.DUMMYFUNCTION("""COMPUTED_VALUE"""),"Hoàn thành")</f>
        <v>Hoàn thành</v>
      </c>
      <c r="R176" s="46"/>
      <c r="S176" s="46"/>
      <c r="T176" s="46"/>
      <c r="U176" s="46"/>
      <c r="V176" s="46"/>
      <c r="W176" s="46"/>
      <c r="X176" s="46"/>
      <c r="Y176" s="46"/>
      <c r="Z176" s="46"/>
      <c r="AA176" s="46"/>
    </row>
    <row r="177">
      <c r="A177" s="55">
        <f>IFERROR(__xludf.DUMMYFUNCTION("""COMPUTED_VALUE"""),44288.39545190972)</f>
        <v>44288.39545</v>
      </c>
      <c r="B177" s="56">
        <f>IFERROR(__xludf.DUMMYFUNCTION("""COMPUTED_VALUE"""),44287.0)</f>
        <v>44287</v>
      </c>
      <c r="C177" s="59" t="str">
        <f t="shared" si="3"/>
        <v/>
      </c>
      <c r="D177" s="46" t="str">
        <f>IFERROR(__xludf.DUMMYFUNCTION("""COMPUTED_VALUE"""),"tunt")</f>
        <v>tunt</v>
      </c>
      <c r="E177" s="57" t="str">
        <f>IFERROR(__xludf.DUMMYFUNCTION("""COMPUTED_VALUE"""),"5310107143")</f>
        <v>5310107143</v>
      </c>
      <c r="F177" s="46" t="str">
        <f>IFERROR(__xludf.DUMMYFUNCTION("""COMPUTED_VALUE"""),"Số 199 Tô Hiệu, phường Hồ Nam, Quận Lê Chân")</f>
        <v>Số 199 Tô Hiệu, phường Hồ Nam, Quận Lê Chân</v>
      </c>
      <c r="G177" s="46" t="str">
        <f>IFERROR(__xludf.DUMMYFUNCTION("""COMPUTED_VALUE"""),"Tiền loại nhiều")</f>
        <v>Tiền loại nhiều</v>
      </c>
      <c r="H177" s="46"/>
      <c r="I177" s="46"/>
      <c r="J177" s="46" t="str">
        <f>IFERROR(__xludf.DUMMYFUNCTION("""COMPUTED_VALUE"""),"thay thế trục pick")</f>
        <v>thay thế trục pick</v>
      </c>
      <c r="K177" s="46"/>
      <c r="L177" s="46"/>
      <c r="M177" s="46"/>
      <c r="N177" s="46"/>
      <c r="O177" s="46"/>
      <c r="P177" s="46"/>
      <c r="Q177" s="46" t="str">
        <f>IFERROR(__xludf.DUMMYFUNCTION("""COMPUTED_VALUE"""),"Hoàn thành")</f>
        <v>Hoàn thành</v>
      </c>
      <c r="R177" s="46"/>
      <c r="S177" s="46"/>
      <c r="T177" s="46"/>
      <c r="U177" s="46"/>
      <c r="V177" s="46"/>
      <c r="W177" s="46"/>
      <c r="X177" s="46"/>
      <c r="Y177" s="46"/>
      <c r="Z177" s="46"/>
      <c r="AA177" s="46"/>
    </row>
    <row r="178">
      <c r="A178" s="55">
        <f>IFERROR(__xludf.DUMMYFUNCTION("""COMPUTED_VALUE"""),44288.3960956713)</f>
        <v>44288.3961</v>
      </c>
      <c r="B178" s="56">
        <f>IFERROR(__xludf.DUMMYFUNCTION("""COMPUTED_VALUE"""),44287.0)</f>
        <v>44287</v>
      </c>
      <c r="C178" s="59" t="str">
        <f t="shared" si="3"/>
        <v/>
      </c>
      <c r="D178" s="46" t="str">
        <f>IFERROR(__xludf.DUMMYFUNCTION("""COMPUTED_VALUE"""),"tunt")</f>
        <v>tunt</v>
      </c>
      <c r="E178" s="57" t="str">
        <f>IFERROR(__xludf.DUMMYFUNCTION("""COMPUTED_VALUE"""),"5300377156")</f>
        <v>5300377156</v>
      </c>
      <c r="F178" s="46" t="str">
        <f>IFERROR(__xludf.DUMMYFUNCTION("""COMPUTED_VALUE"""),"Thị trấn Xuân Trường- Xuân Trường - Nam Định")</f>
        <v>Thị trấn Xuân Trường- Xuân Trường - Nam Định</v>
      </c>
      <c r="G178" s="46" t="str">
        <f>IFERROR(__xludf.DUMMYFUNCTION("""COMPUTED_VALUE"""),"PC hay khởi động lại")</f>
        <v>PC hay khởi động lại</v>
      </c>
      <c r="H178" s="46"/>
      <c r="I178" s="46"/>
      <c r="J178" s="46" t="str">
        <f>IFERROR(__xludf.DUMMYFUNCTION("""COMPUTED_VALUE"""),"thay thế quạt chip")</f>
        <v>thay thế quạt chip</v>
      </c>
      <c r="K178" s="46"/>
      <c r="L178" s="46"/>
      <c r="M178" s="46"/>
      <c r="N178" s="46"/>
      <c r="O178" s="46"/>
      <c r="P178" s="46"/>
      <c r="Q178" s="46" t="str">
        <f>IFERROR(__xludf.DUMMYFUNCTION("""COMPUTED_VALUE"""),"Không hoàn thành")</f>
        <v>Không hoàn thành</v>
      </c>
      <c r="R178" s="46" t="str">
        <f>IFERROR(__xludf.DUMMYFUNCTION("""COMPUTED_VALUE"""),"lỗi nguồn PC")</f>
        <v>lỗi nguồn PC</v>
      </c>
      <c r="S178" s="46"/>
      <c r="T178" s="46"/>
      <c r="U178" s="46"/>
      <c r="V178" s="46"/>
      <c r="W178" s="46"/>
      <c r="X178" s="46"/>
      <c r="Y178" s="46"/>
      <c r="Z178" s="46"/>
      <c r="AA178" s="46"/>
    </row>
    <row r="179">
      <c r="A179" s="55">
        <f>IFERROR(__xludf.DUMMYFUNCTION("""COMPUTED_VALUE"""),44288.39658136574)</f>
        <v>44288.39658</v>
      </c>
      <c r="B179" s="56">
        <f>IFERROR(__xludf.DUMMYFUNCTION("""COMPUTED_VALUE"""),44287.0)</f>
        <v>44287</v>
      </c>
      <c r="C179" s="59" t="str">
        <f t="shared" si="3"/>
        <v/>
      </c>
      <c r="D179" s="46" t="str">
        <f>IFERROR(__xludf.DUMMYFUNCTION("""COMPUTED_VALUE"""),"tunt")</f>
        <v>tunt</v>
      </c>
      <c r="E179" s="57" t="str">
        <f>IFERROR(__xludf.DUMMYFUNCTION("""COMPUTED_VALUE"""),"5310106109")</f>
        <v>5310106109</v>
      </c>
      <c r="F179" s="46" t="str">
        <f>IFERROR(__xludf.DUMMYFUNCTION("""COMPUTED_VALUE"""),"Khối 4 thị trấn Phù Yên, huyện Phù Yên, Sơn La")</f>
        <v>Khối 4 thị trấn Phù Yên, huyện Phù Yên, Sơn La</v>
      </c>
      <c r="G179" s="46" t="str">
        <f>IFERROR(__xludf.DUMMYFUNCTION("""COMPUTED_VALUE"""),"Tiền loại nhiều, bảo trì")</f>
        <v>Tiền loại nhiều, bảo trì</v>
      </c>
      <c r="H179" s="46"/>
      <c r="I179" s="46" t="str">
        <f>IFERROR(__xludf.DUMMYFUNCTION("""COMPUTED_VALUE"""),"Bảo trì")</f>
        <v>Bảo trì</v>
      </c>
      <c r="J179" s="46" t="str">
        <f>IFERROR(__xludf.DUMMYFUNCTION("""COMPUTED_VALUE"""),"căn chỉnh GAP")</f>
        <v>căn chỉnh GAP</v>
      </c>
      <c r="K179" s="46"/>
      <c r="L179" s="46"/>
      <c r="M179" s="46"/>
      <c r="N179" s="46"/>
      <c r="O179" s="46"/>
      <c r="P179" s="46"/>
      <c r="Q179" s="46" t="str">
        <f>IFERROR(__xludf.DUMMYFUNCTION("""COMPUTED_VALUE"""),"Hoàn thành")</f>
        <v>Hoàn thành</v>
      </c>
      <c r="R179" s="46"/>
      <c r="S179" s="46"/>
      <c r="T179" s="46"/>
      <c r="U179" s="46"/>
      <c r="V179" s="46"/>
      <c r="W179" s="46"/>
      <c r="X179" s="46"/>
      <c r="Y179" s="46"/>
      <c r="Z179" s="46"/>
      <c r="AA179" s="46"/>
    </row>
    <row r="180">
      <c r="A180" s="55">
        <f>IFERROR(__xludf.DUMMYFUNCTION("""COMPUTED_VALUE"""),44288.39710476852)</f>
        <v>44288.3971</v>
      </c>
      <c r="B180" s="56">
        <f>IFERROR(__xludf.DUMMYFUNCTION("""COMPUTED_VALUE"""),44287.0)</f>
        <v>44287</v>
      </c>
      <c r="C180" s="59" t="str">
        <f t="shared" si="3"/>
        <v/>
      </c>
      <c r="D180" s="46" t="str">
        <f>IFERROR(__xludf.DUMMYFUNCTION("""COMPUTED_VALUE"""),"tunt")</f>
        <v>tunt</v>
      </c>
      <c r="E180" s="57" t="str">
        <f>IFERROR(__xludf.DUMMYFUNCTION("""COMPUTED_VALUE"""),"5300380310")</f>
        <v>5300380310</v>
      </c>
      <c r="F180" s="46" t="str">
        <f>IFERROR(__xludf.DUMMYFUNCTION("""COMPUTED_VALUE"""),"NHNo H.Tuần Giáo-Thị trấn Tuần Giáo, H.Tuần Giáo, Điện Biên")</f>
        <v>NHNo H.Tuần Giáo-Thị trấn Tuần Giáo, H.Tuần Giáo, Điện Biên</v>
      </c>
      <c r="G180" s="46" t="str">
        <f>IFERROR(__xludf.DUMMYFUNCTION("""COMPUTED_VALUE"""),"Kẹt tiền, Lỗi 2-1")</f>
        <v>Kẹt tiền, Lỗi 2-1</v>
      </c>
      <c r="H180" s="46"/>
      <c r="I180" s="46" t="str">
        <f>IFERROR(__xludf.DUMMYFUNCTION("""COMPUTED_VALUE"""),"Bảo trì")</f>
        <v>Bảo trì</v>
      </c>
      <c r="J180" s="46" t="str">
        <f>IFERROR(__xludf.DUMMYFUNCTION("""COMPUTED_VALUE"""),"Gỡ tiền kẹt")</f>
        <v>Gỡ tiền kẹt</v>
      </c>
      <c r="K180" s="46"/>
      <c r="L180" s="46"/>
      <c r="M180" s="46"/>
      <c r="N180" s="46"/>
      <c r="O180" s="46"/>
      <c r="P180" s="46"/>
      <c r="Q180" s="46" t="str">
        <f>IFERROR(__xludf.DUMMYFUNCTION("""COMPUTED_VALUE"""),"Hoàn thành")</f>
        <v>Hoàn thành</v>
      </c>
      <c r="R180" s="46"/>
      <c r="S180" s="46"/>
      <c r="T180" s="46"/>
      <c r="U180" s="46"/>
      <c r="V180" s="46"/>
      <c r="W180" s="46"/>
      <c r="X180" s="46"/>
      <c r="Y180" s="46"/>
      <c r="Z180" s="46"/>
      <c r="AA180" s="46"/>
    </row>
    <row r="181">
      <c r="A181" s="55">
        <f>IFERROR(__xludf.DUMMYFUNCTION("""COMPUTED_VALUE"""),44288.51746105324)</f>
        <v>44288.51746</v>
      </c>
      <c r="B181" s="56">
        <f>IFERROR(__xludf.DUMMYFUNCTION("""COMPUTED_VALUE"""),44286.0)</f>
        <v>44286</v>
      </c>
      <c r="C181" s="59" t="str">
        <f t="shared" si="3"/>
        <v>Báo cáo muộn</v>
      </c>
      <c r="D181" s="46" t="str">
        <f>IFERROR(__xludf.DUMMYFUNCTION("""COMPUTED_VALUE"""),"tienvm")</f>
        <v>tienvm</v>
      </c>
      <c r="E181" s="57" t="str">
        <f>IFERROR(__xludf.DUMMYFUNCTION("""COMPUTED_VALUE"""),"5300381791")</f>
        <v>5300381791</v>
      </c>
      <c r="F181" s="46" t="str">
        <f>IFERROR(__xludf.DUMMYFUNCTION("""COMPUTED_VALUE"""),"Khối 4, Thị trấn Diễn Châu, H.Diễn Châu, Nghệ An")</f>
        <v>Khối 4, Thị trấn Diễn Châu, H.Diễn Châu, Nghệ An</v>
      </c>
      <c r="G181" s="46" t="str">
        <f>IFERROR(__xludf.DUMMYFUNCTION("""COMPUTED_VALUE"""),"Lỗi 29")</f>
        <v>Lỗi 29</v>
      </c>
      <c r="H181" s="46"/>
      <c r="I181" s="46"/>
      <c r="J181" s="46" t="str">
        <f>IFERROR(__xludf.DUMMYFUNCTION("""COMPUTED_VALUE"""),"Do bên làm báo động tháo lắp shutter gây lỗi. Tháo lắp và vệ sinh, đi lại dây cho shutter.")</f>
        <v>Do bên làm báo động tháo lắp shutter gây lỗi. Tháo lắp và vệ sinh, đi lại dây cho shutter.</v>
      </c>
      <c r="K181" s="46"/>
      <c r="L181" s="46"/>
      <c r="M181" s="46"/>
      <c r="N181" s="46"/>
      <c r="O181" s="46"/>
      <c r="P181" s="46"/>
      <c r="Q181" s="46" t="str">
        <f>IFERROR(__xludf.DUMMYFUNCTION("""COMPUTED_VALUE"""),"Hoàn thành")</f>
        <v>Hoàn thành</v>
      </c>
      <c r="R181" s="46"/>
      <c r="S181" s="46"/>
      <c r="T181" s="46"/>
      <c r="U181" s="46"/>
      <c r="V181" s="46"/>
      <c r="W181" s="46"/>
      <c r="X181" s="46"/>
      <c r="Y181" s="46"/>
      <c r="Z181" s="46"/>
      <c r="AA181" s="46"/>
    </row>
    <row r="182">
      <c r="A182" s="55">
        <f>IFERROR(__xludf.DUMMYFUNCTION("""COMPUTED_VALUE"""),44288.56974665509)</f>
        <v>44288.56975</v>
      </c>
      <c r="B182" s="56">
        <f>IFERROR(__xludf.DUMMYFUNCTION("""COMPUTED_VALUE"""),44286.0)</f>
        <v>44286</v>
      </c>
      <c r="C182" s="59" t="str">
        <f t="shared" si="3"/>
        <v>Báo cáo muộn</v>
      </c>
      <c r="D182" s="46" t="str">
        <f>IFERROR(__xludf.DUMMYFUNCTION("""COMPUTED_VALUE"""),"Hieppn")</f>
        <v>Hieppn</v>
      </c>
      <c r="E182" s="57" t="str">
        <f>IFERROR(__xludf.DUMMYFUNCTION("""COMPUTED_VALUE"""),"5300381704")</f>
        <v>5300381704</v>
      </c>
      <c r="F182" s="46" t="str">
        <f>IFERROR(__xludf.DUMMYFUNCTION("""COMPUTED_VALUE"""),"Xóm 22, xã Nghi Trung, H.Nghi Lộc, Nghệ An")</f>
        <v>Xóm 22, xã Nghi Trung, H.Nghi Lộc, Nghệ An</v>
      </c>
      <c r="G182" s="46" t="str">
        <f>IFERROR(__xludf.DUMMYFUNCTION("""COMPUTED_VALUE"""),"Lỗi bộ trả tiền")</f>
        <v>Lỗi bộ trả tiền</v>
      </c>
      <c r="H182" s="46"/>
      <c r="I182" s="46"/>
      <c r="J182" s="46" t="str">
        <f>IFERROR(__xludf.DUMMYFUNCTION("""COMPUTED_VALUE"""),"Thay thế")</f>
        <v>Thay thế</v>
      </c>
      <c r="K182" s="46" t="str">
        <f>IFERROR(__xludf.DUMMYFUNCTION("""COMPUTED_VALUE"""),"01 trục cuốn ")</f>
        <v>01 trục cuốn </v>
      </c>
      <c r="L182" s="46" t="str">
        <f>IFERROR(__xludf.DUMMYFUNCTION("""COMPUTED_VALUE"""),"01 trục đỡ ")</f>
        <v>01 trục đỡ </v>
      </c>
      <c r="M182" s="46" t="str">
        <f>IFERROR(__xludf.DUMMYFUNCTION("""COMPUTED_VALUE"""),"02 dây curoa")</f>
        <v>02 dây curoa</v>
      </c>
      <c r="N182" s="46"/>
      <c r="O182" s="46"/>
      <c r="P182" s="46"/>
      <c r="Q182" s="46" t="str">
        <f>IFERROR(__xludf.DUMMYFUNCTION("""COMPUTED_VALUE"""),"Hoàn thành")</f>
        <v>Hoàn thành</v>
      </c>
      <c r="R182" s="46"/>
      <c r="S182" s="46"/>
      <c r="T182" s="46"/>
      <c r="U182" s="46"/>
      <c r="V182" s="46"/>
      <c r="W182" s="46"/>
      <c r="X182" s="46"/>
      <c r="Y182" s="46"/>
      <c r="Z182" s="46"/>
      <c r="AA182" s="46"/>
    </row>
    <row r="183">
      <c r="A183" s="55">
        <f>IFERROR(__xludf.DUMMYFUNCTION("""COMPUTED_VALUE"""),44288.65968064815)</f>
        <v>44288.65968</v>
      </c>
      <c r="B183" s="56">
        <f>IFERROR(__xludf.DUMMYFUNCTION("""COMPUTED_VALUE"""),44288.0)</f>
        <v>44288</v>
      </c>
      <c r="C183" s="59" t="str">
        <f t="shared" si="3"/>
        <v/>
      </c>
      <c r="D183" s="46" t="str">
        <f>IFERROR(__xludf.DUMMYFUNCTION("""COMPUTED_VALUE"""),"Tungns")</f>
        <v>Tungns</v>
      </c>
      <c r="E183" s="57" t="str">
        <f>IFERROR(__xludf.DUMMYFUNCTION("""COMPUTED_VALUE"""),"5310105317")</f>
        <v>5310105317</v>
      </c>
      <c r="F183" s="46" t="str">
        <f>IFERROR(__xludf.DUMMYFUNCTION("""COMPUTED_VALUE"""),"Thôn Du La, xã Cẩm Chế, huyện Thanh Hà, Hải Dương")</f>
        <v>Thôn Du La, xã Cẩm Chế, huyện Thanh Hà, Hải Dương</v>
      </c>
      <c r="G183" s="46" t="str">
        <f>IFERROR(__xludf.DUMMYFUNCTION("""COMPUTED_VALUE"""),"Lỗi bptt")</f>
        <v>Lỗi bptt</v>
      </c>
      <c r="H183" s="46"/>
      <c r="I183" s="46" t="str">
        <f>IFERROR(__xludf.DUMMYFUNCTION("""COMPUTED_VALUE"""),"Bảo trì")</f>
        <v>Bảo trì</v>
      </c>
      <c r="J183" s="46" t="str">
        <f>IFERROR(__xludf.DUMMYFUNCTION("""COMPUTED_VALUE"""),"Bảo trì thuận thành và kpsc khay tiền 200, lỗi kẹt tiền, lỗi shutter cho gia bình bắc ninh")</f>
        <v>Bảo trì thuận thành và kpsc khay tiền 200, lỗi kẹt tiền, lỗi shutter cho gia bình bắc ninh</v>
      </c>
      <c r="K183" s="46"/>
      <c r="L183" s="46"/>
      <c r="M183" s="46"/>
      <c r="N183" s="46"/>
      <c r="O183" s="46"/>
      <c r="P183" s="46"/>
      <c r="Q183" s="46" t="str">
        <f>IFERROR(__xludf.DUMMYFUNCTION("""COMPUTED_VALUE"""),"Hoàn thành")</f>
        <v>Hoàn thành</v>
      </c>
      <c r="R183" s="46"/>
      <c r="S183" s="46"/>
      <c r="T183" s="46"/>
      <c r="U183" s="46"/>
      <c r="V183" s="46"/>
      <c r="W183" s="46"/>
      <c r="X183" s="46"/>
      <c r="Y183" s="46"/>
      <c r="Z183" s="46"/>
      <c r="AA183" s="46"/>
    </row>
    <row r="184">
      <c r="A184" s="55">
        <f>IFERROR(__xludf.DUMMYFUNCTION("""COMPUTED_VALUE"""),44291.34278950232)</f>
        <v>44291.34279</v>
      </c>
      <c r="B184" s="56">
        <f>IFERROR(__xludf.DUMMYFUNCTION("""COMPUTED_VALUE"""),44289.0)</f>
        <v>44289</v>
      </c>
      <c r="C184" s="59" t="str">
        <f t="shared" si="3"/>
        <v>Báo cáo muộn</v>
      </c>
      <c r="D184" s="46" t="str">
        <f>IFERROR(__xludf.DUMMYFUNCTION("""COMPUTED_VALUE"""),"Hieppn")</f>
        <v>Hieppn</v>
      </c>
      <c r="E184" s="57" t="str">
        <f>IFERROR(__xludf.DUMMYFUNCTION("""COMPUTED_VALUE"""),"5300380520")</f>
        <v>5300380520</v>
      </c>
      <c r="F184" s="46" t="str">
        <f>IFERROR(__xludf.DUMMYFUNCTION("""COMPUTED_VALUE"""),"Trụ sở NHNo Tiên Yên, 2C phố Hoà Bình, thị trấn Tiên Yên, Quảng Ninh")</f>
        <v>Trụ sở NHNo Tiên Yên, 2C phố Hoà Bình, thị trấn Tiên Yên, Quảng Ninh</v>
      </c>
      <c r="G184" s="46" t="str">
        <f>IFERROR(__xludf.DUMMYFUNCTION("""COMPUTED_VALUE"""),"Lỗi Epp")</f>
        <v>Lỗi Epp</v>
      </c>
      <c r="H184" s="46"/>
      <c r="I184" s="46"/>
      <c r="J184" s="46" t="str">
        <f>IFERROR(__xludf.DUMMYFUNCTION("""COMPUTED_VALUE"""),"Thay thế ")</f>
        <v>Thay thế </v>
      </c>
      <c r="K184" s="46" t="str">
        <f>IFERROR(__xludf.DUMMYFUNCTION("""COMPUTED_VALUE"""),"01 EPP")</f>
        <v>01 EPP</v>
      </c>
      <c r="L184" s="46"/>
      <c r="M184" s="46"/>
      <c r="N184" s="46"/>
      <c r="O184" s="46"/>
      <c r="P184" s="46"/>
      <c r="Q184" s="46" t="str">
        <f>IFERROR(__xludf.DUMMYFUNCTION("""COMPUTED_VALUE"""),"Hoàn thành")</f>
        <v>Hoàn thành</v>
      </c>
      <c r="R184" s="46"/>
      <c r="S184" s="46"/>
      <c r="T184" s="46"/>
      <c r="U184" s="46"/>
      <c r="V184" s="46"/>
      <c r="W184" s="46"/>
      <c r="X184" s="46"/>
      <c r="Y184" s="46"/>
      <c r="Z184" s="46"/>
      <c r="AA184" s="46"/>
    </row>
    <row r="185">
      <c r="A185" s="55">
        <f>IFERROR(__xludf.DUMMYFUNCTION("""COMPUTED_VALUE"""),44291.491456724536)</f>
        <v>44291.49146</v>
      </c>
      <c r="B185" s="56">
        <f>IFERROR(__xludf.DUMMYFUNCTION("""COMPUTED_VALUE"""),44281.0)</f>
        <v>44281</v>
      </c>
      <c r="C185" s="59" t="str">
        <f t="shared" si="3"/>
        <v>Báo cáo muộn</v>
      </c>
      <c r="D185" s="46" t="str">
        <f>IFERROR(__xludf.DUMMYFUNCTION("""COMPUTED_VALUE"""),"hoathv")</f>
        <v>hoathv</v>
      </c>
      <c r="E185" s="57" t="str">
        <f>IFERROR(__xludf.DUMMYFUNCTION("""COMPUTED_VALUE"""),"5300380271")</f>
        <v>5300380271</v>
      </c>
      <c r="F185" s="46" t="str">
        <f>IFERROR(__xludf.DUMMYFUNCTION("""COMPUTED_VALUE"""),"Tiểu khu 2 - Thị trấn Thắng - H. Hiệp Hòa - Bắc Giang")</f>
        <v>Tiểu khu 2 - Thị trấn Thắng - H. Hiệp Hòa - Bắc Giang</v>
      </c>
      <c r="G185" s="46" t="str">
        <f>IFERROR(__xludf.DUMMYFUNCTION("""COMPUTED_VALUE"""),"Lỗi Đầu đọc thẻ")</f>
        <v>Lỗi Đầu đọc thẻ</v>
      </c>
      <c r="H185" s="46"/>
      <c r="I185" s="46" t="str">
        <f>IFERROR(__xludf.DUMMYFUNCTION("""COMPUTED_VALUE"""),"Bảo trì")</f>
        <v>Bảo trì</v>
      </c>
      <c r="J185" s="46"/>
      <c r="K185" s="46" t="str">
        <f>IFERROR(__xludf.DUMMYFUNCTION("""COMPUTED_VALUE"""),"01 Đầu đọc thẻ")</f>
        <v>01 Đầu đọc thẻ</v>
      </c>
      <c r="L185" s="46"/>
      <c r="M185" s="46"/>
      <c r="N185" s="46"/>
      <c r="O185" s="46"/>
      <c r="P185" s="46"/>
      <c r="Q185" s="46" t="str">
        <f>IFERROR(__xludf.DUMMYFUNCTION("""COMPUTED_VALUE"""),"Hoàn thành")</f>
        <v>Hoàn thành</v>
      </c>
      <c r="R185" s="46"/>
      <c r="S185" s="46"/>
      <c r="T185" s="46"/>
      <c r="U185" s="46"/>
      <c r="V185" s="46"/>
      <c r="W185" s="46"/>
      <c r="X185" s="46"/>
      <c r="Y185" s="46"/>
      <c r="Z185" s="46"/>
      <c r="AA185" s="46"/>
    </row>
    <row r="186">
      <c r="A186" s="55">
        <f>IFERROR(__xludf.DUMMYFUNCTION("""COMPUTED_VALUE"""),44291.49172252315)</f>
        <v>44291.49172</v>
      </c>
      <c r="B186" s="56">
        <f>IFERROR(__xludf.DUMMYFUNCTION("""COMPUTED_VALUE"""),44282.0)</f>
        <v>44282</v>
      </c>
      <c r="C186" s="59" t="str">
        <f t="shared" si="3"/>
        <v>Báo cáo muộn</v>
      </c>
      <c r="D186" s="46" t="str">
        <f>IFERROR(__xludf.DUMMYFUNCTION("""COMPUTED_VALUE"""),"hoathv")</f>
        <v>hoathv</v>
      </c>
      <c r="E186" s="57" t="str">
        <f>IFERROR(__xludf.DUMMYFUNCTION("""COMPUTED_VALUE"""),"5300380271")</f>
        <v>5300380271</v>
      </c>
      <c r="F186" s="46" t="str">
        <f>IFERROR(__xludf.DUMMYFUNCTION("""COMPUTED_VALUE"""),"Tiểu khu 2 - Thị trấn Thắng - H. Hiệp Hòa - Bắc Giang")</f>
        <v>Tiểu khu 2 - Thị trấn Thắng - H. Hiệp Hòa - Bắc Giang</v>
      </c>
      <c r="G186" s="46" t="str">
        <f>IFERROR(__xludf.DUMMYFUNCTION("""COMPUTED_VALUE"""),"Lỗi Đầu đọc thẻ")</f>
        <v>Lỗi Đầu đọc thẻ</v>
      </c>
      <c r="H186" s="46"/>
      <c r="I186" s="46"/>
      <c r="J186" s="46"/>
      <c r="K186" s="46" t="str">
        <f>IFERROR(__xludf.DUMMYFUNCTION("""COMPUTED_VALUE"""),"01 Đầu đọc thẻ")</f>
        <v>01 Đầu đọc thẻ</v>
      </c>
      <c r="L186" s="46"/>
      <c r="M186" s="46"/>
      <c r="N186" s="46"/>
      <c r="O186" s="46"/>
      <c r="P186" s="46"/>
      <c r="Q186" s="46" t="str">
        <f>IFERROR(__xludf.DUMMYFUNCTION("""COMPUTED_VALUE"""),"Hoàn thành")</f>
        <v>Hoàn thành</v>
      </c>
      <c r="R186" s="46"/>
      <c r="S186" s="46"/>
      <c r="T186" s="46"/>
      <c r="U186" s="46"/>
      <c r="V186" s="46"/>
      <c r="W186" s="46"/>
      <c r="X186" s="46"/>
      <c r="Y186" s="46"/>
      <c r="Z186" s="46"/>
      <c r="AA186" s="46"/>
    </row>
    <row r="187">
      <c r="A187" s="55">
        <f>IFERROR(__xludf.DUMMYFUNCTION("""COMPUTED_VALUE"""),44291.491995578705)</f>
        <v>44291.492</v>
      </c>
      <c r="B187" s="56">
        <f>IFERROR(__xludf.DUMMYFUNCTION("""COMPUTED_VALUE"""),44284.0)</f>
        <v>44284</v>
      </c>
      <c r="C187" s="59" t="str">
        <f t="shared" si="3"/>
        <v>Báo cáo muộn</v>
      </c>
      <c r="D187" s="46" t="str">
        <f>IFERROR(__xludf.DUMMYFUNCTION("""COMPUTED_VALUE"""),"hoathv")</f>
        <v>hoathv</v>
      </c>
      <c r="E187" s="57" t="str">
        <f>IFERROR(__xludf.DUMMYFUNCTION("""COMPUTED_VALUE"""),"5310106163")</f>
        <v>5310106163</v>
      </c>
      <c r="F187" s="46" t="str">
        <f>IFERROR(__xludf.DUMMYFUNCTION("""COMPUTED_VALUE"""),"Số 12, xã Nhật Tân, H. Kim Bảng,   Hà Nam")</f>
        <v>Số 12, xã Nhật Tân, H. Kim Bảng,   Hà Nam</v>
      </c>
      <c r="G187" s="46" t="str">
        <f>IFERROR(__xludf.DUMMYFUNCTION("""COMPUTED_VALUE"""),"bảo trì")</f>
        <v>bảo trì</v>
      </c>
      <c r="H187" s="46"/>
      <c r="I187" s="46" t="str">
        <f>IFERROR(__xludf.DUMMYFUNCTION("""COMPUTED_VALUE"""),"Bảo trì")</f>
        <v>Bảo trì</v>
      </c>
      <c r="J187" s="46"/>
      <c r="K187" s="46"/>
      <c r="L187" s="46"/>
      <c r="M187" s="46"/>
      <c r="N187" s="46"/>
      <c r="O187" s="46"/>
      <c r="P187" s="46"/>
      <c r="Q187" s="46" t="str">
        <f>IFERROR(__xludf.DUMMYFUNCTION("""COMPUTED_VALUE"""),"Hoàn thành")</f>
        <v>Hoàn thành</v>
      </c>
      <c r="R187" s="46"/>
      <c r="S187" s="46"/>
      <c r="T187" s="46"/>
      <c r="U187" s="46"/>
      <c r="V187" s="46"/>
      <c r="W187" s="46"/>
      <c r="X187" s="46"/>
      <c r="Y187" s="46"/>
      <c r="Z187" s="46"/>
      <c r="AA187" s="46"/>
    </row>
    <row r="188">
      <c r="A188" s="55">
        <f>IFERROR(__xludf.DUMMYFUNCTION("""COMPUTED_VALUE"""),44291.492231805554)</f>
        <v>44291.49223</v>
      </c>
      <c r="B188" s="56">
        <f>IFERROR(__xludf.DUMMYFUNCTION("""COMPUTED_VALUE"""),44285.0)</f>
        <v>44285</v>
      </c>
      <c r="C188" s="59" t="str">
        <f t="shared" si="3"/>
        <v>Báo cáo muộn</v>
      </c>
      <c r="D188" s="46" t="str">
        <f>IFERROR(__xludf.DUMMYFUNCTION("""COMPUTED_VALUE"""),"hoathv")</f>
        <v>hoathv</v>
      </c>
      <c r="E188" s="57" t="str">
        <f>IFERROR(__xludf.DUMMYFUNCTION("""COMPUTED_VALUE"""),"5310180698")</f>
        <v>5310180698</v>
      </c>
      <c r="F188" s="46" t="str">
        <f>IFERROR(__xludf.DUMMYFUNCTION("""COMPUTED_VALUE"""),"Thị trấn Phú Minh, huyện Phú Xuyên, Hà Nội")</f>
        <v>Thị trấn Phú Minh, huyện Phú Xuyên, Hà Nội</v>
      </c>
      <c r="G188" s="46" t="str">
        <f>IFERROR(__xludf.DUMMYFUNCTION("""COMPUTED_VALUE"""),"bảo trì")</f>
        <v>bảo trì</v>
      </c>
      <c r="H188" s="46"/>
      <c r="I188" s="46" t="str">
        <f>IFERROR(__xludf.DUMMYFUNCTION("""COMPUTED_VALUE"""),"Bảo trì")</f>
        <v>Bảo trì</v>
      </c>
      <c r="J188" s="46"/>
      <c r="K188" s="46"/>
      <c r="L188" s="46"/>
      <c r="M188" s="46"/>
      <c r="N188" s="46"/>
      <c r="O188" s="46"/>
      <c r="P188" s="46"/>
      <c r="Q188" s="46" t="str">
        <f>IFERROR(__xludf.DUMMYFUNCTION("""COMPUTED_VALUE"""),"Hoàn thành")</f>
        <v>Hoàn thành</v>
      </c>
      <c r="R188" s="46"/>
      <c r="S188" s="46"/>
      <c r="T188" s="46"/>
      <c r="U188" s="46"/>
      <c r="V188" s="46"/>
      <c r="W188" s="46"/>
      <c r="X188" s="46"/>
      <c r="Y188" s="46"/>
      <c r="Z188" s="46"/>
      <c r="AA188" s="46"/>
    </row>
    <row r="189">
      <c r="A189" s="55">
        <f>IFERROR(__xludf.DUMMYFUNCTION("""COMPUTED_VALUE"""),44291.49255121528)</f>
        <v>44291.49255</v>
      </c>
      <c r="B189" s="56">
        <f>IFERROR(__xludf.DUMMYFUNCTION("""COMPUTED_VALUE"""),44286.0)</f>
        <v>44286</v>
      </c>
      <c r="C189" s="59" t="str">
        <f t="shared" si="3"/>
        <v>Báo cáo muộn</v>
      </c>
      <c r="D189" s="46" t="str">
        <f>IFERROR(__xludf.DUMMYFUNCTION("""COMPUTED_VALUE"""),"hoathv")</f>
        <v>hoathv</v>
      </c>
      <c r="E189" s="57" t="str">
        <f>IFERROR(__xludf.DUMMYFUNCTION("""COMPUTED_VALUE"""),"5300380536")</f>
        <v>5300380536</v>
      </c>
      <c r="F189" s="46" t="str">
        <f>IFERROR(__xludf.DUMMYFUNCTION("""COMPUTED_VALUE"""),"PGD Khu Đông, xã Hùng Dũng, Hưng Hà, Thái Bình")</f>
        <v>PGD Khu Đông, xã Hùng Dũng, Hưng Hà, Thái Bình</v>
      </c>
      <c r="G189" s="46" t="str">
        <f>IFERROR(__xludf.DUMMYFUNCTION("""COMPUTED_VALUE"""),"bảo trì")</f>
        <v>bảo trì</v>
      </c>
      <c r="H189" s="46"/>
      <c r="I189" s="46" t="str">
        <f>IFERROR(__xludf.DUMMYFUNCTION("""COMPUTED_VALUE"""),"Bảo trì")</f>
        <v>Bảo trì</v>
      </c>
      <c r="J189" s="46"/>
      <c r="K189" s="46"/>
      <c r="L189" s="46"/>
      <c r="M189" s="46"/>
      <c r="N189" s="46"/>
      <c r="O189" s="46"/>
      <c r="P189" s="46"/>
      <c r="Q189" s="46" t="str">
        <f>IFERROR(__xludf.DUMMYFUNCTION("""COMPUTED_VALUE"""),"Hoàn thành")</f>
        <v>Hoàn thành</v>
      </c>
      <c r="R189" s="46"/>
      <c r="S189" s="46"/>
      <c r="T189" s="46"/>
      <c r="U189" s="46"/>
      <c r="V189" s="46"/>
      <c r="W189" s="46"/>
      <c r="X189" s="46"/>
      <c r="Y189" s="46"/>
      <c r="Z189" s="46"/>
      <c r="AA189" s="46"/>
    </row>
    <row r="190">
      <c r="A190" s="55">
        <f>IFERROR(__xludf.DUMMYFUNCTION("""COMPUTED_VALUE"""),44291.492765682866)</f>
        <v>44291.49277</v>
      </c>
      <c r="B190" s="56">
        <f>IFERROR(__xludf.DUMMYFUNCTION("""COMPUTED_VALUE"""),44287.0)</f>
        <v>44287</v>
      </c>
      <c r="C190" s="59" t="str">
        <f t="shared" si="3"/>
        <v>Báo cáo muộn</v>
      </c>
      <c r="D190" s="46" t="str">
        <f>IFERROR(__xludf.DUMMYFUNCTION("""COMPUTED_VALUE"""),"hoathv")</f>
        <v>hoathv</v>
      </c>
      <c r="E190" s="57" t="str">
        <f>IFERROR(__xludf.DUMMYFUNCTION("""COMPUTED_VALUE"""),"5300380351")</f>
        <v>5300380351</v>
      </c>
      <c r="F190" s="46" t="str">
        <f>IFERROR(__xludf.DUMMYFUNCTION("""COMPUTED_VALUE"""),"Trụ sở NHNo Vân Đồn, Khu 5 thị trấn Cái Rồng, Vân Đồn, Quảng Ninh")</f>
        <v>Trụ sở NHNo Vân Đồn, Khu 5 thị trấn Cái Rồng, Vân Đồn, Quảng Ninh</v>
      </c>
      <c r="G190" s="46" t="str">
        <f>IFERROR(__xludf.DUMMYFUNCTION("""COMPUTED_VALUE"""),"bảo trì")</f>
        <v>bảo trì</v>
      </c>
      <c r="H190" s="46"/>
      <c r="I190" s="46" t="str">
        <f>IFERROR(__xludf.DUMMYFUNCTION("""COMPUTED_VALUE"""),"Bảo trì")</f>
        <v>Bảo trì</v>
      </c>
      <c r="J190" s="46"/>
      <c r="K190" s="46"/>
      <c r="L190" s="46"/>
      <c r="M190" s="46"/>
      <c r="N190" s="46"/>
      <c r="O190" s="46"/>
      <c r="P190" s="46"/>
      <c r="Q190" s="46" t="str">
        <f>IFERROR(__xludf.DUMMYFUNCTION("""COMPUTED_VALUE"""),"Hoàn thành")</f>
        <v>Hoàn thành</v>
      </c>
      <c r="R190" s="46"/>
      <c r="S190" s="46"/>
      <c r="T190" s="46"/>
      <c r="U190" s="46"/>
      <c r="V190" s="46"/>
      <c r="W190" s="46"/>
      <c r="X190" s="46"/>
      <c r="Y190" s="46"/>
      <c r="Z190" s="46"/>
      <c r="AA190" s="46"/>
    </row>
    <row r="191">
      <c r="A191" s="55">
        <f>IFERROR(__xludf.DUMMYFUNCTION("""COMPUTED_VALUE"""),44291.493042685186)</f>
        <v>44291.49304</v>
      </c>
      <c r="B191" s="56">
        <f>IFERROR(__xludf.DUMMYFUNCTION("""COMPUTED_VALUE"""),44288.0)</f>
        <v>44288</v>
      </c>
      <c r="C191" s="59" t="str">
        <f t="shared" si="3"/>
        <v>Báo cáo muộn</v>
      </c>
      <c r="D191" s="46" t="str">
        <f>IFERROR(__xludf.DUMMYFUNCTION("""COMPUTED_VALUE"""),"hoathv")</f>
        <v>hoathv</v>
      </c>
      <c r="E191" s="57" t="str">
        <f>IFERROR(__xludf.DUMMYFUNCTION("""COMPUTED_VALUE"""),"5300377156")</f>
        <v>5300377156</v>
      </c>
      <c r="F191" s="46" t="str">
        <f>IFERROR(__xludf.DUMMYFUNCTION("""COMPUTED_VALUE"""),"Thị trấn Xuân Trường- Xuân Trường - Nam Định")</f>
        <v>Thị trấn Xuân Trường- Xuân Trường - Nam Định</v>
      </c>
      <c r="G191" s="46" t="str">
        <f>IFERROR(__xludf.DUMMYFUNCTION("""COMPUTED_VALUE"""),"bảo trì")</f>
        <v>bảo trì</v>
      </c>
      <c r="H191" s="46"/>
      <c r="I191" s="46" t="str">
        <f>IFERROR(__xludf.DUMMYFUNCTION("""COMPUTED_VALUE"""),"Bảo trì")</f>
        <v>Bảo trì</v>
      </c>
      <c r="J191" s="46"/>
      <c r="K191" s="46"/>
      <c r="L191" s="46"/>
      <c r="M191" s="46"/>
      <c r="N191" s="46"/>
      <c r="O191" s="46"/>
      <c r="P191" s="46"/>
      <c r="Q191" s="46" t="str">
        <f>IFERROR(__xludf.DUMMYFUNCTION("""COMPUTED_VALUE"""),"Hoàn thành")</f>
        <v>Hoàn thành</v>
      </c>
      <c r="R191" s="46"/>
      <c r="S191" s="46"/>
      <c r="T191" s="46"/>
      <c r="U191" s="46"/>
      <c r="V191" s="46"/>
      <c r="W191" s="46"/>
      <c r="X191" s="46"/>
      <c r="Y191" s="46"/>
      <c r="Z191" s="46"/>
      <c r="AA191" s="46"/>
    </row>
    <row r="192">
      <c r="A192" s="55">
        <f>IFERROR(__xludf.DUMMYFUNCTION("""COMPUTED_VALUE"""),44291.614405671295)</f>
        <v>44291.61441</v>
      </c>
      <c r="B192" s="56">
        <f>IFERROR(__xludf.DUMMYFUNCTION("""COMPUTED_VALUE"""),44287.0)</f>
        <v>44287</v>
      </c>
      <c r="C192" s="59" t="str">
        <f t="shared" si="3"/>
        <v>Báo cáo muộn</v>
      </c>
      <c r="D192" s="46" t="str">
        <f>IFERROR(__xludf.DUMMYFUNCTION("""COMPUTED_VALUE"""),"Anhhl")</f>
        <v>Anhhl</v>
      </c>
      <c r="E192" s="57" t="str">
        <f>IFERROR(__xludf.DUMMYFUNCTION("""COMPUTED_VALUE"""),"5300378518")</f>
        <v>5300378518</v>
      </c>
      <c r="F192" s="46" t="str">
        <f>IFERROR(__xludf.DUMMYFUNCTION("""COMPUTED_VALUE"""),"479 Lương Ngọc Quyến, TP Thái Nguyên")</f>
        <v>479 Lương Ngọc Quyến, TP Thái Nguyên</v>
      </c>
      <c r="G192" s="46" t="str">
        <f>IFERROR(__xludf.DUMMYFUNCTION("""COMPUTED_VALUE"""),"Bảo trì")</f>
        <v>Bảo trì</v>
      </c>
      <c r="H192" s="46"/>
      <c r="I192" s="46" t="str">
        <f>IFERROR(__xludf.DUMMYFUNCTION("""COMPUTED_VALUE"""),"Bảo trì")</f>
        <v>Bảo trì</v>
      </c>
      <c r="J192" s="46"/>
      <c r="K192" s="46"/>
      <c r="L192" s="46"/>
      <c r="M192" s="46"/>
      <c r="N192" s="46"/>
      <c r="O192" s="46"/>
      <c r="P192" s="46"/>
      <c r="Q192" s="46" t="str">
        <f>IFERROR(__xludf.DUMMYFUNCTION("""COMPUTED_VALUE"""),"Hoàn thành")</f>
        <v>Hoàn thành</v>
      </c>
      <c r="R192" s="46"/>
      <c r="S192" s="46"/>
      <c r="T192" s="46"/>
      <c r="U192" s="46"/>
      <c r="V192" s="46"/>
      <c r="W192" s="46"/>
      <c r="X192" s="46"/>
      <c r="Y192" s="46"/>
      <c r="Z192" s="46"/>
      <c r="AA192" s="46"/>
    </row>
    <row r="193">
      <c r="A193" s="55">
        <f>IFERROR(__xludf.DUMMYFUNCTION("""COMPUTED_VALUE"""),44291.61507489583)</f>
        <v>44291.61507</v>
      </c>
      <c r="B193" s="56">
        <f>IFERROR(__xludf.DUMMYFUNCTION("""COMPUTED_VALUE"""),44288.0)</f>
        <v>44288</v>
      </c>
      <c r="C193" s="59" t="str">
        <f t="shared" si="3"/>
        <v>Báo cáo muộn</v>
      </c>
      <c r="D193" s="46" t="str">
        <f>IFERROR(__xludf.DUMMYFUNCTION("""COMPUTED_VALUE"""),"Anhhl")</f>
        <v>Anhhl</v>
      </c>
      <c r="E193" s="57" t="str">
        <f>IFERROR(__xludf.DUMMYFUNCTION("""COMPUTED_VALUE"""),"5300381628")</f>
        <v>5300381628</v>
      </c>
      <c r="F193" s="46" t="str">
        <f>IFERROR(__xludf.DUMMYFUNCTION("""COMPUTED_VALUE"""),"NHNo huyện Đồng Hỷ, thị trấn Chùa Hang, huyện Đồng Hỷ, Thái Nguyên")</f>
        <v>NHNo huyện Đồng Hỷ, thị trấn Chùa Hang, huyện Đồng Hỷ, Thái Nguyên</v>
      </c>
      <c r="G193" s="46" t="str">
        <f>IFERROR(__xludf.DUMMYFUNCTION("""COMPUTED_VALUE"""),"Bảo trì")</f>
        <v>Bảo trì</v>
      </c>
      <c r="H193" s="46"/>
      <c r="I193" s="46" t="str">
        <f>IFERROR(__xludf.DUMMYFUNCTION("""COMPUTED_VALUE"""),"Bảo trì")</f>
        <v>Bảo trì</v>
      </c>
      <c r="J193" s="46"/>
      <c r="K193" s="46"/>
      <c r="L193" s="46"/>
      <c r="M193" s="46"/>
      <c r="N193" s="46"/>
      <c r="O193" s="46"/>
      <c r="P193" s="46"/>
      <c r="Q193" s="46" t="str">
        <f>IFERROR(__xludf.DUMMYFUNCTION("""COMPUTED_VALUE"""),"Hoàn thành")</f>
        <v>Hoàn thành</v>
      </c>
      <c r="R193" s="46"/>
      <c r="S193" s="46"/>
      <c r="T193" s="46"/>
      <c r="U193" s="46"/>
      <c r="V193" s="46"/>
      <c r="W193" s="46"/>
      <c r="X193" s="46"/>
      <c r="Y193" s="46"/>
      <c r="Z193" s="46"/>
      <c r="AA193" s="46"/>
    </row>
    <row r="194">
      <c r="A194" s="55">
        <f>IFERROR(__xludf.DUMMYFUNCTION("""COMPUTED_VALUE"""),44291.61560521991)</f>
        <v>44291.61561</v>
      </c>
      <c r="B194" s="56">
        <f>IFERROR(__xludf.DUMMYFUNCTION("""COMPUTED_VALUE"""),44288.0)</f>
        <v>44288</v>
      </c>
      <c r="C194" s="59" t="str">
        <f t="shared" si="3"/>
        <v>Báo cáo muộn</v>
      </c>
      <c r="D194" s="46" t="str">
        <f>IFERROR(__xludf.DUMMYFUNCTION("""COMPUTED_VALUE"""),"Anhhl")</f>
        <v>Anhhl</v>
      </c>
      <c r="E194" s="57" t="str">
        <f>IFERROR(__xludf.DUMMYFUNCTION("""COMPUTED_VALUE"""),"5300380659")</f>
        <v>5300380659</v>
      </c>
      <c r="F194" s="46" t="str">
        <f>IFERROR(__xludf.DUMMYFUNCTION("""COMPUTED_VALUE"""),"NHNo huyện Phú Lương, TT Đu, huyện Phú Lương, Thái Nguyên")</f>
        <v>NHNo huyện Phú Lương, TT Đu, huyện Phú Lương, Thái Nguyên</v>
      </c>
      <c r="G194" s="46" t="str">
        <f>IFERROR(__xludf.DUMMYFUNCTION("""COMPUTED_VALUE"""),"Bảo trì")</f>
        <v>Bảo trì</v>
      </c>
      <c r="H194" s="46"/>
      <c r="I194" s="46" t="str">
        <f>IFERROR(__xludf.DUMMYFUNCTION("""COMPUTED_VALUE"""),"Bảo trì")</f>
        <v>Bảo trì</v>
      </c>
      <c r="J194" s="46"/>
      <c r="K194" s="46"/>
      <c r="L194" s="46"/>
      <c r="M194" s="46"/>
      <c r="N194" s="46"/>
      <c r="O194" s="46"/>
      <c r="P194" s="46"/>
      <c r="Q194" s="46" t="str">
        <f>IFERROR(__xludf.DUMMYFUNCTION("""COMPUTED_VALUE"""),"Hoàn thành")</f>
        <v>Hoàn thành</v>
      </c>
      <c r="R194" s="46"/>
      <c r="S194" s="46"/>
      <c r="T194" s="46"/>
      <c r="U194" s="46"/>
      <c r="V194" s="46"/>
      <c r="W194" s="46"/>
      <c r="X194" s="46"/>
      <c r="Y194" s="46"/>
      <c r="Z194" s="46"/>
      <c r="AA194" s="46"/>
    </row>
    <row r="195">
      <c r="A195" s="55">
        <f>IFERROR(__xludf.DUMMYFUNCTION("""COMPUTED_VALUE"""),44291.67784099537)</f>
        <v>44291.67784</v>
      </c>
      <c r="B195" s="56">
        <f>IFERROR(__xludf.DUMMYFUNCTION("""COMPUTED_VALUE"""),44291.0)</f>
        <v>44291</v>
      </c>
      <c r="C195" s="59" t="str">
        <f t="shared" si="3"/>
        <v/>
      </c>
      <c r="D195" s="46" t="str">
        <f>IFERROR(__xludf.DUMMYFUNCTION("""COMPUTED_VALUE"""),"Tunt")</f>
        <v>Tunt</v>
      </c>
      <c r="E195" s="57" t="str">
        <f>IFERROR(__xludf.DUMMYFUNCTION("""COMPUTED_VALUE"""),"5300380685")</f>
        <v>5300380685</v>
      </c>
      <c r="F195" s="46" t="str">
        <f>IFERROR(__xludf.DUMMYFUNCTION("""COMPUTED_VALUE"""),"NHNo Sông Công CM10 Tân Quang, TP Sông Công")</f>
        <v>NHNo Sông Công CM10 Tân Quang, TP Sông Công</v>
      </c>
      <c r="G195" s="46" t="str">
        <f>IFERROR(__xludf.DUMMYFUNCTION("""COMPUTED_VALUE"""),"Lỗi 9-0, bảo trì")</f>
        <v>Lỗi 9-0, bảo trì</v>
      </c>
      <c r="H195" s="46"/>
      <c r="I195" s="46" t="str">
        <f>IFERROR(__xludf.DUMMYFUNCTION("""COMPUTED_VALUE"""),"Bảo trì")</f>
        <v>Bảo trì</v>
      </c>
      <c r="J195" s="46" t="str">
        <f>IFERROR(__xludf.DUMMYFUNCTION("""COMPUTED_VALUE"""),"Lắp lại sensor bị bung, bảo trì")</f>
        <v>Lắp lại sensor bị bung, bảo trì</v>
      </c>
      <c r="K195" s="46"/>
      <c r="L195" s="46"/>
      <c r="M195" s="46"/>
      <c r="N195" s="46"/>
      <c r="O195" s="46"/>
      <c r="P195" s="46"/>
      <c r="Q195" s="46" t="str">
        <f>IFERROR(__xludf.DUMMYFUNCTION("""COMPUTED_VALUE"""),"Hoàn thành")</f>
        <v>Hoàn thành</v>
      </c>
      <c r="R195" s="46"/>
      <c r="S195" s="46"/>
      <c r="T195" s="46"/>
      <c r="U195" s="46"/>
      <c r="V195" s="46"/>
      <c r="W195" s="46"/>
      <c r="X195" s="46"/>
      <c r="Y195" s="46"/>
      <c r="Z195" s="46"/>
      <c r="AA195" s="46"/>
    </row>
    <row r="196">
      <c r="A196" s="55">
        <f>IFERROR(__xludf.DUMMYFUNCTION("""COMPUTED_VALUE"""),44291.707211597226)</f>
        <v>44291.70721</v>
      </c>
      <c r="B196" s="56">
        <f>IFERROR(__xludf.DUMMYFUNCTION("""COMPUTED_VALUE"""),44288.0)</f>
        <v>44288</v>
      </c>
      <c r="C196" s="59" t="str">
        <f t="shared" si="3"/>
        <v>Báo cáo muộn</v>
      </c>
      <c r="D196" s="46" t="str">
        <f>IFERROR(__xludf.DUMMYFUNCTION("""COMPUTED_VALUE"""),"thangnx")</f>
        <v>thangnx</v>
      </c>
      <c r="E196" s="57" t="str">
        <f>IFERROR(__xludf.DUMMYFUNCTION("""COMPUTED_VALUE"""),"5310107238")</f>
        <v>5310107238</v>
      </c>
      <c r="F196" s="46" t="str">
        <f>IFERROR(__xludf.DUMMYFUNCTION("""COMPUTED_VALUE"""),"Tổ 4, TT. Trại Cau, H. Đồng Hỷ,   Thái Nguyên")</f>
        <v>Tổ 4, TT. Trại Cau, H. Đồng Hỷ,   Thái Nguyên</v>
      </c>
      <c r="G196" s="46" t="str">
        <f>IFERROR(__xludf.DUMMYFUNCTION("""COMPUTED_VALUE"""),"Mất thông số, hay kẹt thẻ")</f>
        <v>Mất thông số, hay kẹt thẻ</v>
      </c>
      <c r="H196" s="46"/>
      <c r="I196" s="46"/>
      <c r="J196" s="46"/>
      <c r="K196" s="46" t="str">
        <f>IFERROR(__xludf.DUMMYFUNCTION("""COMPUTED_VALUE"""),"01 đầu đọc thẻ")</f>
        <v>01 đầu đọc thẻ</v>
      </c>
      <c r="L196" s="46" t="str">
        <f>IFERROR(__xludf.DUMMYFUNCTION("""COMPUTED_VALUE"""),"01 bo ngang")</f>
        <v>01 bo ngang</v>
      </c>
      <c r="M196" s="46"/>
      <c r="N196" s="46"/>
      <c r="O196" s="46"/>
      <c r="P196" s="46"/>
      <c r="Q196" s="46" t="str">
        <f>IFERROR(__xludf.DUMMYFUNCTION("""COMPUTED_VALUE"""),"Hoàn thành")</f>
        <v>Hoàn thành</v>
      </c>
      <c r="R196" s="46"/>
      <c r="S196" s="46"/>
      <c r="T196" s="46"/>
      <c r="U196" s="46"/>
      <c r="V196" s="46"/>
      <c r="W196" s="46"/>
      <c r="X196" s="46"/>
      <c r="Y196" s="46"/>
      <c r="Z196" s="46"/>
      <c r="AA196" s="46"/>
    </row>
    <row r="197">
      <c r="A197" s="55">
        <f>IFERROR(__xludf.DUMMYFUNCTION("""COMPUTED_VALUE"""),44292.681706840274)</f>
        <v>44292.68171</v>
      </c>
      <c r="B197" s="56">
        <f>IFERROR(__xludf.DUMMYFUNCTION("""COMPUTED_VALUE"""),44292.0)</f>
        <v>44292</v>
      </c>
      <c r="C197" s="59" t="str">
        <f t="shared" si="3"/>
        <v/>
      </c>
      <c r="D197" s="46" t="str">
        <f>IFERROR(__xludf.DUMMYFUNCTION("""COMPUTED_VALUE"""),"Tuanva")</f>
        <v>Tuanva</v>
      </c>
      <c r="E197" s="57" t="str">
        <f>IFERROR(__xludf.DUMMYFUNCTION("""COMPUTED_VALUE"""),"5310107221")</f>
        <v>5310107221</v>
      </c>
      <c r="F197" s="46" t="str">
        <f>IFERROR(__xludf.DUMMYFUNCTION("""COMPUTED_VALUE"""),"Số 279 đường Thống Nhất, TP. Thái Nguyên")</f>
        <v>Số 279 đường Thống Nhất, TP. Thái Nguyên</v>
      </c>
      <c r="G197" s="46" t="str">
        <f>IFERROR(__xludf.DUMMYFUNCTION("""COMPUTED_VALUE"""),"Tiền loại nhiều")</f>
        <v>Tiền loại nhiều</v>
      </c>
      <c r="H197" s="46"/>
      <c r="I197" s="46"/>
      <c r="J197" s="46" t="str">
        <f>IFERROR(__xludf.DUMMYFUNCTION("""COMPUTED_VALUE"""),"Căn chỉnh extrator")</f>
        <v>Căn chỉnh extrator</v>
      </c>
      <c r="K197" s="46"/>
      <c r="L197" s="46"/>
      <c r="M197" s="46"/>
      <c r="N197" s="46"/>
      <c r="O197" s="46"/>
      <c r="P197" s="46"/>
      <c r="Q197" s="46" t="str">
        <f>IFERROR(__xludf.DUMMYFUNCTION("""COMPUTED_VALUE"""),"Hoàn thành")</f>
        <v>Hoàn thành</v>
      </c>
      <c r="R197" s="46"/>
      <c r="S197" s="46"/>
      <c r="T197" s="46"/>
      <c r="U197" s="46"/>
      <c r="V197" s="46"/>
      <c r="W197" s="46"/>
      <c r="X197" s="46"/>
      <c r="Y197" s="46"/>
      <c r="Z197" s="46"/>
      <c r="AA197" s="46"/>
    </row>
    <row r="198">
      <c r="A198" s="55">
        <f>IFERROR(__xludf.DUMMYFUNCTION("""COMPUTED_VALUE"""),44292.68341217593)</f>
        <v>44292.68341</v>
      </c>
      <c r="B198" s="56">
        <f>IFERROR(__xludf.DUMMYFUNCTION("""COMPUTED_VALUE"""),44292.0)</f>
        <v>44292</v>
      </c>
      <c r="C198" s="59" t="str">
        <f t="shared" si="3"/>
        <v/>
      </c>
      <c r="D198" s="46" t="str">
        <f>IFERROR(__xludf.DUMMYFUNCTION("""COMPUTED_VALUE"""),"Duclb")</f>
        <v>Duclb</v>
      </c>
      <c r="E198" s="57" t="str">
        <f>IFERROR(__xludf.DUMMYFUNCTION("""COMPUTED_VALUE"""),"56HGL03537")</f>
        <v>56HGL03537</v>
      </c>
      <c r="F198" s="46" t="str">
        <f>IFERROR(__xludf.DUMMYFUNCTION("""COMPUTED_VALUE"""),"Lô A38-NV16 ô số 11 và ô số 12, Khu đô thị mới hai bên đường Lê Trọng Tấn, xã An Khánh, huyện Hoài Đức, TP Hà Nội")</f>
        <v>Lô A38-NV16 ô số 11 và ô số 12, Khu đô thị mới hai bên đường Lê Trọng Tấn, xã An Khánh, huyện Hoài Đức, TP Hà Nội</v>
      </c>
      <c r="G198" s="46" t="str">
        <f>IFERROR(__xludf.DUMMYFUNCTION("""COMPUTED_VALUE"""),"Lỗi cưar báo luôn mở")</f>
        <v>Lỗi cưar báo luôn mở</v>
      </c>
      <c r="H198" s="46"/>
      <c r="I198" s="46" t="str">
        <f>IFERROR(__xludf.DUMMYFUNCTION("""COMPUTED_VALUE"""),"Bảo trì")</f>
        <v>Bảo trì</v>
      </c>
      <c r="J198" s="46" t="str">
        <f>IFERROR(__xludf.DUMMYFUNCTION("""COMPUTED_VALUE"""),"Chèn lẫy cho cửa luôn đóng")</f>
        <v>Chèn lẫy cho cửa luôn đóng</v>
      </c>
      <c r="K198" s="46"/>
      <c r="L198" s="46"/>
      <c r="M198" s="46"/>
      <c r="N198" s="46"/>
      <c r="O198" s="46"/>
      <c r="P198" s="46"/>
      <c r="Q198" s="46" t="str">
        <f>IFERROR(__xludf.DUMMYFUNCTION("""COMPUTED_VALUE"""),"Hoàn thành")</f>
        <v>Hoàn thành</v>
      </c>
      <c r="R198" s="46"/>
      <c r="S198" s="46"/>
      <c r="T198" s="46"/>
      <c r="U198" s="46"/>
      <c r="V198" s="46"/>
      <c r="W198" s="46"/>
      <c r="X198" s="46"/>
      <c r="Y198" s="46"/>
      <c r="Z198" s="46"/>
      <c r="AA198" s="46"/>
    </row>
    <row r="199">
      <c r="A199" s="55">
        <f>IFERROR(__xludf.DUMMYFUNCTION("""COMPUTED_VALUE"""),44292.68383581018)</f>
        <v>44292.68384</v>
      </c>
      <c r="B199" s="56">
        <f>IFERROR(__xludf.DUMMYFUNCTION("""COMPUTED_VALUE"""),44292.0)</f>
        <v>44292</v>
      </c>
      <c r="C199" s="59" t="str">
        <f t="shared" si="3"/>
        <v/>
      </c>
      <c r="D199" s="46" t="str">
        <f>IFERROR(__xludf.DUMMYFUNCTION("""COMPUTED_VALUE"""),"Duclb")</f>
        <v>Duclb</v>
      </c>
      <c r="E199" s="57" t="str">
        <f>IFERROR(__xludf.DUMMYFUNCTION("""COMPUTED_VALUE"""),"5300380885")</f>
        <v>5300380885</v>
      </c>
      <c r="F199" s="46" t="str">
        <f>IFERROR(__xludf.DUMMYFUNCTION("""COMPUTED_VALUE"""),"154A Tôn Đức Thắng, Q.Đống Đa, Hà Nội")</f>
        <v>154A Tôn Đức Thắng, Q.Đống Đa, Hà Nội</v>
      </c>
      <c r="G199" s="46" t="str">
        <f>IFERROR(__xludf.DUMMYFUNCTION("""COMPUTED_VALUE"""),"Yc bảo trì")</f>
        <v>Yc bảo trì</v>
      </c>
      <c r="H199" s="46"/>
      <c r="I199" s="46" t="str">
        <f>IFERROR(__xludf.DUMMYFUNCTION("""COMPUTED_VALUE"""),"Bảo trì")</f>
        <v>Bảo trì</v>
      </c>
      <c r="J199" s="46"/>
      <c r="K199" s="46"/>
      <c r="L199" s="46"/>
      <c r="M199" s="46"/>
      <c r="N199" s="46"/>
      <c r="O199" s="46"/>
      <c r="P199" s="46" t="str">
        <f>IFERROR(__xludf.DUMMYFUNCTION("""COMPUTED_VALUE"""),"Máy bị hỏng 1 hdd")</f>
        <v>Máy bị hỏng 1 hdd</v>
      </c>
      <c r="Q199" s="46" t="str">
        <f>IFERROR(__xludf.DUMMYFUNCTION("""COMPUTED_VALUE"""),"Hoàn thành")</f>
        <v>Hoàn thành</v>
      </c>
      <c r="R199" s="46"/>
      <c r="S199" s="46"/>
      <c r="T199" s="46"/>
      <c r="U199" s="46"/>
      <c r="V199" s="46"/>
      <c r="W199" s="46"/>
      <c r="X199" s="46"/>
      <c r="Y199" s="46"/>
      <c r="Z199" s="46"/>
      <c r="AA199" s="46"/>
    </row>
    <row r="200">
      <c r="A200" s="55">
        <f>IFERROR(__xludf.DUMMYFUNCTION("""COMPUTED_VALUE"""),44292.68410423611)</f>
        <v>44292.6841</v>
      </c>
      <c r="B200" s="56">
        <f>IFERROR(__xludf.DUMMYFUNCTION("""COMPUTED_VALUE"""),44292.0)</f>
        <v>44292</v>
      </c>
      <c r="C200" s="59" t="str">
        <f t="shared" si="3"/>
        <v/>
      </c>
      <c r="D200" s="46" t="str">
        <f>IFERROR(__xludf.DUMMYFUNCTION("""COMPUTED_VALUE"""),"Duclb")</f>
        <v>Duclb</v>
      </c>
      <c r="E200" s="57" t="str">
        <f>IFERROR(__xludf.DUMMYFUNCTION("""COMPUTED_VALUE"""),"5300378203")</f>
        <v>5300378203</v>
      </c>
      <c r="F200" s="46" t="str">
        <f>IFERROR(__xludf.DUMMYFUNCTION("""COMPUTED_VALUE"""),"PGD Pháp Vân-tầng 1, nơ 7, KĐT Pháp Vân, Tứ Hiệp")</f>
        <v>PGD Pháp Vân-tầng 1, nơ 7, KĐT Pháp Vân, Tứ Hiệp</v>
      </c>
      <c r="G200" s="46" t="str">
        <f>IFERROR(__xludf.DUMMYFUNCTION("""COMPUTED_VALUE"""),"Yc bảo trì")</f>
        <v>Yc bảo trì</v>
      </c>
      <c r="H200" s="46"/>
      <c r="I200" s="46" t="str">
        <f>IFERROR(__xludf.DUMMYFUNCTION("""COMPUTED_VALUE"""),"Bảo trì")</f>
        <v>Bảo trì</v>
      </c>
      <c r="J200" s="46"/>
      <c r="K200" s="46"/>
      <c r="L200" s="46"/>
      <c r="M200" s="46"/>
      <c r="N200" s="46"/>
      <c r="O200" s="46"/>
      <c r="P200" s="46"/>
      <c r="Q200" s="46" t="str">
        <f>IFERROR(__xludf.DUMMYFUNCTION("""COMPUTED_VALUE"""),"Hoàn thành")</f>
        <v>Hoàn thành</v>
      </c>
      <c r="R200" s="46"/>
      <c r="S200" s="46"/>
      <c r="T200" s="46"/>
      <c r="U200" s="46"/>
      <c r="V200" s="46"/>
      <c r="W200" s="46"/>
      <c r="X200" s="46"/>
      <c r="Y200" s="46"/>
      <c r="Z200" s="46"/>
      <c r="AA200" s="46"/>
    </row>
    <row r="201">
      <c r="A201" s="55">
        <f>IFERROR(__xludf.DUMMYFUNCTION("""COMPUTED_VALUE"""),44293.61279792824)</f>
        <v>44293.6128</v>
      </c>
      <c r="B201" s="56">
        <f>IFERROR(__xludf.DUMMYFUNCTION("""COMPUTED_VALUE"""),44293.0)</f>
        <v>44293</v>
      </c>
      <c r="C201" s="59" t="str">
        <f t="shared" si="3"/>
        <v/>
      </c>
      <c r="D201" s="46" t="str">
        <f>IFERROR(__xludf.DUMMYFUNCTION("""COMPUTED_VALUE"""),"Anhhl")</f>
        <v>Anhhl</v>
      </c>
      <c r="E201" s="57" t="str">
        <f>IFERROR(__xludf.DUMMYFUNCTION("""COMPUTED_VALUE"""),"56HGL00296")</f>
        <v>56HGL00296</v>
      </c>
      <c r="F201" s="46" t="str">
        <f>IFERROR(__xludf.DUMMYFUNCTION("""COMPUTED_VALUE"""),"Trụ sở CN online Võ Chí Công Tầng 1, tòa nhà N01T4 Khu Ngoại giao đoàn, Phường Xuân Tảo, Bắc Từ Liêm, Hà Nội")</f>
        <v>Trụ sở CN online Võ Chí Công Tầng 1, tòa nhà N01T4 Khu Ngoại giao đoàn, Phường Xuân Tảo, Bắc Từ Liêm, Hà Nội</v>
      </c>
      <c r="G201" s="46" t="str">
        <f>IFERROR(__xludf.DUMMYFUNCTION("""COMPUTED_VALUE"""),"Bảo trì")</f>
        <v>Bảo trì</v>
      </c>
      <c r="H201" s="46"/>
      <c r="I201" s="46" t="str">
        <f>IFERROR(__xludf.DUMMYFUNCTION("""COMPUTED_VALUE"""),"Bảo trì")</f>
        <v>Bảo trì</v>
      </c>
      <c r="J201" s="46"/>
      <c r="K201" s="46"/>
      <c r="L201" s="46"/>
      <c r="M201" s="46"/>
      <c r="N201" s="46"/>
      <c r="O201" s="46"/>
      <c r="P201" s="46"/>
      <c r="Q201" s="46" t="str">
        <f>IFERROR(__xludf.DUMMYFUNCTION("""COMPUTED_VALUE"""),"Hoàn thành")</f>
        <v>Hoàn thành</v>
      </c>
      <c r="R201" s="46"/>
      <c r="S201" s="46"/>
      <c r="T201" s="46"/>
      <c r="U201" s="46"/>
      <c r="V201" s="46"/>
      <c r="W201" s="46"/>
      <c r="X201" s="46"/>
      <c r="Y201" s="46"/>
      <c r="Z201" s="46"/>
      <c r="AA201" s="46"/>
    </row>
    <row r="202">
      <c r="A202" s="55">
        <f>IFERROR(__xludf.DUMMYFUNCTION("""COMPUTED_VALUE"""),44294.27126013889)</f>
        <v>44294.27126</v>
      </c>
      <c r="B202" s="56">
        <f>IFERROR(__xludf.DUMMYFUNCTION("""COMPUTED_VALUE"""),44293.0)</f>
        <v>44293</v>
      </c>
      <c r="C202" s="59" t="str">
        <f t="shared" si="3"/>
        <v/>
      </c>
      <c r="D202" s="46" t="str">
        <f>IFERROR(__xludf.DUMMYFUNCTION("""COMPUTED_VALUE"""),"Tuanva")</f>
        <v>Tuanva</v>
      </c>
      <c r="E202" s="57" t="str">
        <f>IFERROR(__xludf.DUMMYFUNCTION("""COMPUTED_VALUE"""),"5310107350")</f>
        <v>5310107350</v>
      </c>
      <c r="F202" s="46" t="str">
        <f>IFERROR(__xludf.DUMMYFUNCTION("""COMPUTED_VALUE"""),"PGD Vân Hội, xã Vân Hội, huyện Tam Dương, Vĩnh Phúc")</f>
        <v>PGD Vân Hội, xã Vân Hội, huyện Tam Dương, Vĩnh Phúc</v>
      </c>
      <c r="G202" s="46" t="str">
        <f>IFERROR(__xludf.DUMMYFUNCTION("""COMPUTED_VALUE"""),"Máy lỗi 53")</f>
        <v>Máy lỗi 53</v>
      </c>
      <c r="H202" s="46"/>
      <c r="I202" s="46"/>
      <c r="J202" s="46" t="str">
        <f>IFERROR(__xludf.DUMMYFUNCTION("""COMPUTED_VALUE"""),"Hỏng côn điện tầng 200k")</f>
        <v>Hỏng côn điện tầng 200k</v>
      </c>
      <c r="K202" s="46" t="str">
        <f>IFERROR(__xludf.DUMMYFUNCTION("""COMPUTED_VALUE"""),"01 côn điện")</f>
        <v>01 côn điện</v>
      </c>
      <c r="L202" s="46"/>
      <c r="M202" s="46"/>
      <c r="N202" s="46"/>
      <c r="O202" s="46"/>
      <c r="P202" s="46"/>
      <c r="Q202" s="46" t="str">
        <f>IFERROR(__xludf.DUMMYFUNCTION("""COMPUTED_VALUE"""),"Hoàn thành")</f>
        <v>Hoàn thành</v>
      </c>
      <c r="R202" s="46"/>
      <c r="S202" s="46"/>
      <c r="T202" s="46"/>
      <c r="U202" s="46"/>
      <c r="V202" s="46"/>
      <c r="W202" s="46"/>
      <c r="X202" s="46"/>
      <c r="Y202" s="46"/>
      <c r="Z202" s="46"/>
      <c r="AA202" s="46"/>
    </row>
    <row r="203">
      <c r="A203" s="55">
        <f>IFERROR(__xludf.DUMMYFUNCTION("""COMPUTED_VALUE"""),44294.62202068287)</f>
        <v>44294.62202</v>
      </c>
      <c r="B203" s="56">
        <f>IFERROR(__xludf.DUMMYFUNCTION("""COMPUTED_VALUE"""),44294.0)</f>
        <v>44294</v>
      </c>
      <c r="C203" s="59" t="str">
        <f t="shared" si="3"/>
        <v/>
      </c>
      <c r="D203" s="46" t="str">
        <f>IFERROR(__xludf.DUMMYFUNCTION("""COMPUTED_VALUE"""),"Tuanva")</f>
        <v>Tuanva</v>
      </c>
      <c r="E203" s="57" t="str">
        <f>IFERROR(__xludf.DUMMYFUNCTION("""COMPUTED_VALUE"""),"5310107350")</f>
        <v>5310107350</v>
      </c>
      <c r="F203" s="46" t="str">
        <f>IFERROR(__xludf.DUMMYFUNCTION("""COMPUTED_VALUE"""),"PGD Vân Hội, xã Vân Hội, huyện Tam Dương, Vĩnh Phúc")</f>
        <v>PGD Vân Hội, xã Vân Hội, huyện Tam Dương, Vĩnh Phúc</v>
      </c>
      <c r="G203" s="46" t="str">
        <f>IFERROR(__xludf.DUMMYFUNCTION("""COMPUTED_VALUE"""),"Hỏng hdd")</f>
        <v>Hỏng hdd</v>
      </c>
      <c r="H203" s="46"/>
      <c r="I203" s="46"/>
      <c r="J203" s="46" t="str">
        <f>IFERROR(__xludf.DUMMYFUNCTION("""COMPUTED_VALUE"""),"Ghost lại ")</f>
        <v>Ghost lại </v>
      </c>
      <c r="K203" s="46" t="str">
        <f>IFERROR(__xludf.DUMMYFUNCTION("""COMPUTED_VALUE"""),"Thay thế 01 hdd")</f>
        <v>Thay thế 01 hdd</v>
      </c>
      <c r="L203" s="46"/>
      <c r="M203" s="46"/>
      <c r="N203" s="46"/>
      <c r="O203" s="46"/>
      <c r="P203" s="46"/>
      <c r="Q203" s="46" t="str">
        <f>IFERROR(__xludf.DUMMYFUNCTION("""COMPUTED_VALUE"""),"Hoàn thành")</f>
        <v>Hoàn thành</v>
      </c>
      <c r="R203" s="46"/>
      <c r="S203" s="46"/>
      <c r="T203" s="46"/>
      <c r="U203" s="46"/>
      <c r="V203" s="46"/>
      <c r="W203" s="46"/>
      <c r="X203" s="46"/>
      <c r="Y203" s="46"/>
      <c r="Z203" s="46"/>
      <c r="AA203" s="46"/>
    </row>
    <row r="204">
      <c r="A204" s="55">
        <f>IFERROR(__xludf.DUMMYFUNCTION("""COMPUTED_VALUE"""),44295.54604306713)</f>
        <v>44295.54604</v>
      </c>
      <c r="B204" s="56">
        <f>IFERROR(__xludf.DUMMYFUNCTION("""COMPUTED_VALUE"""),44294.0)</f>
        <v>44294</v>
      </c>
      <c r="C204" s="59" t="str">
        <f t="shared" si="3"/>
        <v/>
      </c>
      <c r="D204" s="46" t="str">
        <f>IFERROR(__xludf.DUMMYFUNCTION("""COMPUTED_VALUE"""),"Tuanva")</f>
        <v>Tuanva</v>
      </c>
      <c r="E204" s="57" t="str">
        <f>IFERROR(__xludf.DUMMYFUNCTION("""COMPUTED_VALUE"""),"5310105856")</f>
        <v>5310105856</v>
      </c>
      <c r="F204" s="46" t="str">
        <f>IFERROR(__xludf.DUMMYFUNCTION("""COMPUTED_VALUE"""),"Thị trấn Như Quỳnh (tòa nhà 5 tầng), huyện Văn Lâm, Hưng Yên")</f>
        <v>Thị trấn Như Quỳnh (tòa nhà 5 tầng), huyện Văn Lâm, Hưng Yên</v>
      </c>
      <c r="G204" s="46" t="str">
        <f>IFERROR(__xludf.DUMMYFUNCTION("""COMPUTED_VALUE"""),"Lỗi 17 tiền không đẩy vào được hộp loại")</f>
        <v>Lỗi 17 tiền không đẩy vào được hộp loại</v>
      </c>
      <c r="H204" s="46"/>
      <c r="I204" s="46"/>
      <c r="J204" s="46" t="str">
        <f>IFERROR(__xludf.DUMMYFUNCTION("""COMPUTED_VALUE"""),"Hộp loại lỗi,do bịch lệch bánh răng")</f>
        <v>Hộp loại lỗi,do bịch lệch bánh răng</v>
      </c>
      <c r="K204" s="46"/>
      <c r="L204" s="46"/>
      <c r="M204" s="46"/>
      <c r="N204" s="46"/>
      <c r="O204" s="46"/>
      <c r="P204" s="46"/>
      <c r="Q204" s="46" t="str">
        <f>IFERROR(__xludf.DUMMYFUNCTION("""COMPUTED_VALUE"""),"Hoàn thành")</f>
        <v>Hoàn thành</v>
      </c>
      <c r="R204" s="46"/>
      <c r="S204" s="46"/>
      <c r="T204" s="46"/>
      <c r="U204" s="46"/>
      <c r="V204" s="46"/>
      <c r="W204" s="46"/>
      <c r="X204" s="46"/>
      <c r="Y204" s="46"/>
      <c r="Z204" s="46"/>
      <c r="AA204" s="46"/>
    </row>
    <row r="205">
      <c r="A205" s="55">
        <f>IFERROR(__xludf.DUMMYFUNCTION("""COMPUTED_VALUE"""),44295.54740292824)</f>
        <v>44295.5474</v>
      </c>
      <c r="B205" s="56">
        <f>IFERROR(__xludf.DUMMYFUNCTION("""COMPUTED_VALUE"""),44295.0)</f>
        <v>44295</v>
      </c>
      <c r="C205" s="59" t="str">
        <f t="shared" si="3"/>
        <v/>
      </c>
      <c r="D205" s="46" t="str">
        <f>IFERROR(__xludf.DUMMYFUNCTION("""COMPUTED_VALUE"""),"Tuanva")</f>
        <v>Tuanva</v>
      </c>
      <c r="E205" s="57" t="str">
        <f>IFERROR(__xludf.DUMMYFUNCTION("""COMPUTED_VALUE"""),"5300380063")</f>
        <v>5300380063</v>
      </c>
      <c r="F205" s="46" t="str">
        <f>IFERROR(__xludf.DUMMYFUNCTION("""COMPUTED_VALUE"""),"Thị trấn Vương - Tiên Lữ - Hưng Yên")</f>
        <v>Thị trấn Vương - Tiên Lữ - Hưng Yên</v>
      </c>
      <c r="G205" s="46" t="str">
        <f>IFERROR(__xludf.DUMMYFUNCTION("""COMPUTED_VALUE"""),"Tiền loại nhiều,lỗi 2.0")</f>
        <v>Tiền loại nhiều,lỗi 2.0</v>
      </c>
      <c r="H205" s="46"/>
      <c r="I205" s="46"/>
      <c r="J205" s="46" t="str">
        <f>IFERROR(__xludf.DUMMYFUNCTION("""COMPUTED_VALUE"""),"Kẹt tiền tại miếng nhựa trong,dây curoa ex 1 bị tuột ra khỏi trục.")</f>
        <v>Kẹt tiền tại miếng nhựa trong,dây curoa ex 1 bị tuột ra khỏi trục.</v>
      </c>
      <c r="K205" s="46"/>
      <c r="L205" s="46"/>
      <c r="M205" s="46"/>
      <c r="N205" s="46"/>
      <c r="O205" s="46"/>
      <c r="P205" s="46"/>
      <c r="Q205" s="46" t="str">
        <f>IFERROR(__xludf.DUMMYFUNCTION("""COMPUTED_VALUE"""),"Hoàn thành")</f>
        <v>Hoàn thành</v>
      </c>
      <c r="R205" s="46"/>
      <c r="S205" s="46"/>
      <c r="T205" s="46"/>
      <c r="U205" s="46"/>
      <c r="V205" s="46"/>
      <c r="W205" s="46"/>
      <c r="X205" s="46"/>
      <c r="Y205" s="46"/>
      <c r="Z205" s="46"/>
      <c r="AA205" s="46"/>
    </row>
    <row r="206">
      <c r="A206" s="55">
        <f>IFERROR(__xludf.DUMMYFUNCTION("""COMPUTED_VALUE"""),44295.88202837963)</f>
        <v>44295.88203</v>
      </c>
      <c r="B206" s="56">
        <f>IFERROR(__xludf.DUMMYFUNCTION("""COMPUTED_VALUE"""),44291.0)</f>
        <v>44291</v>
      </c>
      <c r="C206" s="59" t="str">
        <f t="shared" si="3"/>
        <v>Báo cáo muộn</v>
      </c>
      <c r="D206" s="46" t="str">
        <f>IFERROR(__xludf.DUMMYFUNCTION("""COMPUTED_VALUE"""),"Hieppn")</f>
        <v>Hieppn</v>
      </c>
      <c r="E206" s="57" t="str">
        <f>IFERROR(__xludf.DUMMYFUNCTION("""COMPUTED_VALUE"""),"56DW500035")</f>
        <v>56DW500035</v>
      </c>
      <c r="F206" s="46" t="str">
        <f>IFERROR(__xludf.DUMMYFUNCTION("""COMPUTED_VALUE"""),"")</f>
        <v/>
      </c>
      <c r="G206" s="46" t="str">
        <f>IFERROR(__xludf.DUMMYFUNCTION("""COMPUTED_VALUE"""),"Lỗi bộ trả tiền ")</f>
        <v>Lỗi bộ trả tiền </v>
      </c>
      <c r="H206" s="46"/>
      <c r="I206" s="46"/>
      <c r="J206" s="46" t="str">
        <f>IFERROR(__xludf.DUMMYFUNCTION("""COMPUTED_VALUE"""),"Kiểm tra log thay thế và vệ sinh máy ATM")</f>
        <v>Kiểm tra log thay thế và vệ sinh máy ATM</v>
      </c>
      <c r="K206" s="46" t="str">
        <f>IFERROR(__xludf.DUMMYFUNCTION("""COMPUTED_VALUE"""),"01presentor")</f>
        <v>01presentor</v>
      </c>
      <c r="L206" s="46" t="str">
        <f>IFERROR(__xludf.DUMMYFUNCTION("""COMPUTED_VALUE"""),"01Clamp")</f>
        <v>01Clamp</v>
      </c>
      <c r="M206" s="46" t="str">
        <f>IFERROR(__xludf.DUMMYFUNCTION("""COMPUTED_VALUE"""),"02dây curoa extractor ")</f>
        <v>02dây curoa extractor </v>
      </c>
      <c r="N206" s="46"/>
      <c r="O206" s="46"/>
      <c r="P206" s="46"/>
      <c r="Q206" s="46" t="str">
        <f>IFERROR(__xludf.DUMMYFUNCTION("""COMPUTED_VALUE"""),"Hoàn thành")</f>
        <v>Hoàn thành</v>
      </c>
      <c r="R206" s="46"/>
      <c r="S206" s="46"/>
      <c r="T206" s="46"/>
      <c r="U206" s="46"/>
      <c r="V206" s="46"/>
      <c r="W206" s="46"/>
      <c r="X206" s="46"/>
      <c r="Y206" s="46"/>
      <c r="Z206" s="46"/>
      <c r="AA206" s="46"/>
    </row>
    <row r="207">
      <c r="A207" s="55">
        <f>IFERROR(__xludf.DUMMYFUNCTION("""COMPUTED_VALUE"""),44295.88321584491)</f>
        <v>44295.88322</v>
      </c>
      <c r="B207" s="56">
        <f>IFERROR(__xludf.DUMMYFUNCTION("""COMPUTED_VALUE"""),44292.0)</f>
        <v>44292</v>
      </c>
      <c r="C207" s="59" t="str">
        <f t="shared" si="3"/>
        <v>Báo cáo muộn</v>
      </c>
      <c r="D207" s="46" t="str">
        <f>IFERROR(__xludf.DUMMYFUNCTION("""COMPUTED_VALUE"""),"Hieppn ")</f>
        <v>Hieppn </v>
      </c>
      <c r="E207" s="57" t="str">
        <f>IFERROR(__xludf.DUMMYFUNCTION("""COMPUTED_VALUE"""),"56HG805390")</f>
        <v>56HG805390</v>
      </c>
      <c r="F207" s="46" t="str">
        <f>IFERROR(__xludf.DUMMYFUNCTION("""COMPUTED_VALUE"""),"Kho KV1, Cục Quân Khí, Tổng Cục Kỹ thuật, xã Thanh Sơn, Hữu Lũng, Lạng Sơn")</f>
        <v>Kho KV1, Cục Quân Khí, Tổng Cục Kỹ thuật, xã Thanh Sơn, Hữu Lũng, Lạng Sơn</v>
      </c>
      <c r="G207" s="46" t="str">
        <f>IFERROR(__xludf.DUMMYFUNCTION("""COMPUTED_VALUE"""),"Lỗi đầu đọc thẻ")</f>
        <v>Lỗi đầu đọc thẻ</v>
      </c>
      <c r="H207" s="46"/>
      <c r="I207" s="46"/>
      <c r="J207" s="46" t="str">
        <f>IFERROR(__xludf.DUMMYFUNCTION("""COMPUTED_VALUE"""),"Thay thế ")</f>
        <v>Thay thế </v>
      </c>
      <c r="K207" s="46" t="str">
        <f>IFERROR(__xludf.DUMMYFUNCTION("""COMPUTED_VALUE"""),"01 đầu đọc thẻ")</f>
        <v>01 đầu đọc thẻ</v>
      </c>
      <c r="L207" s="46"/>
      <c r="M207" s="46"/>
      <c r="N207" s="46"/>
      <c r="O207" s="46"/>
      <c r="P207" s="46"/>
      <c r="Q207" s="46" t="str">
        <f>IFERROR(__xludf.DUMMYFUNCTION("""COMPUTED_VALUE"""),"Hoàn thành")</f>
        <v>Hoàn thành</v>
      </c>
      <c r="R207" s="46"/>
      <c r="S207" s="46"/>
      <c r="T207" s="46"/>
      <c r="U207" s="46"/>
      <c r="V207" s="46"/>
      <c r="W207" s="46"/>
      <c r="X207" s="46"/>
      <c r="Y207" s="46"/>
      <c r="Z207" s="46"/>
      <c r="AA207" s="46"/>
    </row>
    <row r="208">
      <c r="A208" s="55">
        <f>IFERROR(__xludf.DUMMYFUNCTION("""COMPUTED_VALUE"""),44295.884567835645)</f>
        <v>44295.88457</v>
      </c>
      <c r="B208" s="56">
        <f>IFERROR(__xludf.DUMMYFUNCTION("""COMPUTED_VALUE"""),44293.0)</f>
        <v>44293</v>
      </c>
      <c r="C208" s="59" t="str">
        <f t="shared" si="3"/>
        <v>Báo cáo muộn</v>
      </c>
      <c r="D208" s="46" t="str">
        <f>IFERROR(__xludf.DUMMYFUNCTION("""COMPUTED_VALUE"""),"Hieppn")</f>
        <v>Hieppn</v>
      </c>
      <c r="E208" s="57" t="str">
        <f>IFERROR(__xludf.DUMMYFUNCTION("""COMPUTED_VALUE"""),"5310181146")</f>
        <v>5310181146</v>
      </c>
      <c r="F208" s="46" t="str">
        <f>IFERROR(__xludf.DUMMYFUNCTION("""COMPUTED_VALUE"""),"UBND xã Bắc Phú")</f>
        <v>UBND xã Bắc Phú</v>
      </c>
      <c r="G208" s="46" t="str">
        <f>IFERROR(__xludf.DUMMYFUNCTION("""COMPUTED_VALUE"""),"Lỗi bộ trả tiền")</f>
        <v>Lỗi bộ trả tiền</v>
      </c>
      <c r="H208" s="46"/>
      <c r="I208" s="46"/>
      <c r="J208" s="46" t="str">
        <f>IFERROR(__xludf.DUMMYFUNCTION("""COMPUTED_VALUE"""),"Fix lại phanh tầng 200")</f>
        <v>Fix lại phanh tầng 200</v>
      </c>
      <c r="K208" s="46"/>
      <c r="L208" s="46"/>
      <c r="M208" s="46"/>
      <c r="N208" s="46"/>
      <c r="O208" s="46"/>
      <c r="P208" s="46"/>
      <c r="Q208" s="46" t="str">
        <f>IFERROR(__xludf.DUMMYFUNCTION("""COMPUTED_VALUE"""),"Hoàn thành")</f>
        <v>Hoàn thành</v>
      </c>
      <c r="R208" s="46"/>
      <c r="S208" s="46"/>
      <c r="T208" s="46"/>
      <c r="U208" s="46"/>
      <c r="V208" s="46"/>
      <c r="W208" s="46"/>
      <c r="X208" s="46"/>
      <c r="Y208" s="46"/>
      <c r="Z208" s="46"/>
      <c r="AA208" s="46"/>
    </row>
    <row r="209">
      <c r="A209" s="55">
        <f>IFERROR(__xludf.DUMMYFUNCTION("""COMPUTED_VALUE"""),44295.88520109953)</f>
        <v>44295.8852</v>
      </c>
      <c r="B209" s="56">
        <f>IFERROR(__xludf.DUMMYFUNCTION("""COMPUTED_VALUE"""),44294.0)</f>
        <v>44294</v>
      </c>
      <c r="C209" s="59" t="str">
        <f t="shared" si="3"/>
        <v/>
      </c>
      <c r="D209" s="46" t="str">
        <f>IFERROR(__xludf.DUMMYFUNCTION("""COMPUTED_VALUE"""),"Hieppn ")</f>
        <v>Hieppn </v>
      </c>
      <c r="E209" s="57" t="str">
        <f>IFERROR(__xludf.DUMMYFUNCTION("""COMPUTED_VALUE"""),"5300378266")</f>
        <v>5300378266</v>
      </c>
      <c r="F209" s="46" t="str">
        <f>IFERROR(__xludf.DUMMYFUNCTION("""COMPUTED_VALUE"""),"139 Nguyễn Văn Cừ, p. Hồng Hà, TP Hạ Long")</f>
        <v>139 Nguyễn Văn Cừ, p. Hồng Hà, TP Hạ Long</v>
      </c>
      <c r="G209" s="46" t="str">
        <f>IFERROR(__xludf.DUMMYFUNCTION("""COMPUTED_VALUE"""),"Lỗi 2-3")</f>
        <v>Lỗi 2-3</v>
      </c>
      <c r="H209" s="46"/>
      <c r="I209" s="46"/>
      <c r="J209" s="46" t="str">
        <f>IFERROR(__xludf.DUMMYFUNCTION("""COMPUTED_VALUE"""),"Chỉnh lại clamp")</f>
        <v>Chỉnh lại clamp</v>
      </c>
      <c r="K209" s="46"/>
      <c r="L209" s="46"/>
      <c r="M209" s="46"/>
      <c r="N209" s="46"/>
      <c r="O209" s="46"/>
      <c r="P209" s="46"/>
      <c r="Q209" s="46" t="str">
        <f>IFERROR(__xludf.DUMMYFUNCTION("""COMPUTED_VALUE"""),"Hoàn thành")</f>
        <v>Hoàn thành</v>
      </c>
      <c r="R209" s="46"/>
      <c r="S209" s="46"/>
      <c r="T209" s="46"/>
      <c r="U209" s="46"/>
      <c r="V209" s="46"/>
      <c r="W209" s="46"/>
      <c r="X209" s="46"/>
      <c r="Y209" s="46"/>
      <c r="Z209" s="46"/>
      <c r="AA209" s="46"/>
    </row>
    <row r="210">
      <c r="A210" s="55">
        <f>IFERROR(__xludf.DUMMYFUNCTION("""COMPUTED_VALUE"""),44295.88615158565)</f>
        <v>44295.88615</v>
      </c>
      <c r="B210" s="56">
        <f>IFERROR(__xludf.DUMMYFUNCTION("""COMPUTED_VALUE"""),44295.0)</f>
        <v>44295</v>
      </c>
      <c r="C210" s="59" t="str">
        <f t="shared" si="3"/>
        <v/>
      </c>
      <c r="D210" s="46" t="str">
        <f>IFERROR(__xludf.DUMMYFUNCTION("""COMPUTED_VALUE"""),"Hieppn")</f>
        <v>Hieppn</v>
      </c>
      <c r="E210" s="57" t="str">
        <f>IFERROR(__xludf.DUMMYFUNCTION("""COMPUTED_VALUE"""),"56HG806320")</f>
        <v>56HG806320</v>
      </c>
      <c r="F210" s="46" t="str">
        <f>IFERROR(__xludf.DUMMYFUNCTION("""COMPUTED_VALUE"""),"Số 328, tổ 1B, khu 6A, phường Hồng Hải, TP. Hạ Long, Quảng Ninh")</f>
        <v>Số 328, tổ 1B, khu 6A, phường Hồng Hải, TP. Hạ Long, Quảng Ninh</v>
      </c>
      <c r="G210" s="46" t="str">
        <f>IFERROR(__xludf.DUMMYFUNCTION("""COMPUTED_VALUE"""),"Rác nhiều")</f>
        <v>Rác nhiều</v>
      </c>
      <c r="H210" s="46"/>
      <c r="I210" s="46"/>
      <c r="J210" s="46" t="str">
        <f>IFERROR(__xludf.DUMMYFUNCTION("""COMPUTED_VALUE"""),"Thay thế")</f>
        <v>Thay thế</v>
      </c>
      <c r="K210" s="46" t="str">
        <f>IFERROR(__xludf.DUMMYFUNCTION("""COMPUTED_VALUE"""),"01răng lược khay 100k")</f>
        <v>01răng lược khay 100k</v>
      </c>
      <c r="L210" s="46"/>
      <c r="M210" s="46"/>
      <c r="N210" s="46"/>
      <c r="O210" s="46"/>
      <c r="P210" s="46"/>
      <c r="Q210" s="46" t="str">
        <f>IFERROR(__xludf.DUMMYFUNCTION("""COMPUTED_VALUE"""),"Hoàn thành")</f>
        <v>Hoàn thành</v>
      </c>
      <c r="R210" s="46"/>
      <c r="S210" s="46"/>
      <c r="T210" s="46"/>
      <c r="U210" s="46"/>
      <c r="V210" s="46"/>
      <c r="W210" s="46"/>
      <c r="X210" s="46"/>
      <c r="Y210" s="46"/>
      <c r="Z210" s="46"/>
      <c r="AA210" s="46"/>
    </row>
    <row r="211">
      <c r="A211" s="55">
        <f>IFERROR(__xludf.DUMMYFUNCTION("""COMPUTED_VALUE"""),44295.89015219908)</f>
        <v>44295.89015</v>
      </c>
      <c r="B211" s="56">
        <f>IFERROR(__xludf.DUMMYFUNCTION("""COMPUTED_VALUE"""),44288.0)</f>
        <v>44288</v>
      </c>
      <c r="C211" s="59" t="str">
        <f t="shared" si="3"/>
        <v>Báo cáo muộn</v>
      </c>
      <c r="D211" s="46" t="str">
        <f>IFERROR(__xludf.DUMMYFUNCTION("""COMPUTED_VALUE"""),"Hieppn")</f>
        <v>Hieppn</v>
      </c>
      <c r="E211" s="57" t="str">
        <f>IFERROR(__xludf.DUMMYFUNCTION("""COMPUTED_VALUE"""),"5300378031")</f>
        <v>5300378031</v>
      </c>
      <c r="F211" s="46" t="str">
        <f>IFERROR(__xludf.DUMMYFUNCTION("""COMPUTED_VALUE"""),"Trụ sở NHNo Hoành Bồ, Khu 4 thị trấn Trới, Hoành Bồ, Quảng Ninh")</f>
        <v>Trụ sở NHNo Hoành Bồ, Khu 4 thị trấn Trới, Hoành Bồ, Quảng Ninh</v>
      </c>
      <c r="G211" s="46" t="str">
        <f>IFERROR(__xludf.DUMMYFUNCTION("""COMPUTED_VALUE"""),"Rác nhiều")</f>
        <v>Rác nhiều</v>
      </c>
      <c r="H211" s="46"/>
      <c r="I211" s="46"/>
      <c r="J211" s="46" t="str">
        <f>IFERROR(__xludf.DUMMYFUNCTION("""COMPUTED_VALUE"""),"Vệ sinh kiểm tra và thay thế")</f>
        <v>Vệ sinh kiểm tra và thay thế</v>
      </c>
      <c r="K211" s="46" t="str">
        <f>IFERROR(__xludf.DUMMYFUNCTION("""COMPUTED_VALUE"""),"01 presentor ")</f>
        <v>01 presentor </v>
      </c>
      <c r="L211" s="46" t="str">
        <f>IFERROR(__xludf.DUMMYFUNCTION("""COMPUTED_VALUE"""),"01 Clamp")</f>
        <v>01 Clamp</v>
      </c>
      <c r="M211" s="46" t="str">
        <f>IFERROR(__xludf.DUMMYFUNCTION("""COMPUTED_VALUE"""),"02 dây curoa ")</f>
        <v>02 dây curoa </v>
      </c>
      <c r="N211" s="46"/>
      <c r="O211" s="46"/>
      <c r="P211" s="46"/>
      <c r="Q211" s="46" t="str">
        <f>IFERROR(__xludf.DUMMYFUNCTION("""COMPUTED_VALUE"""),"Hoàn thành")</f>
        <v>Hoàn thành</v>
      </c>
      <c r="R211" s="46"/>
      <c r="S211" s="46"/>
      <c r="T211" s="46"/>
      <c r="U211" s="46"/>
      <c r="V211" s="46"/>
      <c r="W211" s="46"/>
      <c r="X211" s="46"/>
      <c r="Y211" s="46"/>
      <c r="Z211" s="46"/>
      <c r="AA211" s="46"/>
    </row>
    <row r="212">
      <c r="A212" s="55">
        <f>IFERROR(__xludf.DUMMYFUNCTION("""COMPUTED_VALUE"""),44296.3668275)</f>
        <v>44296.36683</v>
      </c>
      <c r="B212" s="56">
        <f>IFERROR(__xludf.DUMMYFUNCTION("""COMPUTED_VALUE"""),44295.0)</f>
        <v>44295</v>
      </c>
      <c r="C212" s="59" t="str">
        <f t="shared" si="3"/>
        <v/>
      </c>
      <c r="D212" s="46" t="str">
        <f>IFERROR(__xludf.DUMMYFUNCTION("""COMPUTED_VALUE"""),"Tuanva")</f>
        <v>Tuanva</v>
      </c>
      <c r="E212" s="57" t="str">
        <f>IFERROR(__xludf.DUMMYFUNCTION("""COMPUTED_VALUE"""),"5300380006")</f>
        <v>5300380006</v>
      </c>
      <c r="F212" s="46" t="str">
        <f>IFERROR(__xludf.DUMMYFUNCTION("""COMPUTED_VALUE"""),"NHNo Tứ Kỳ - Đường 391 H. Tứ Kỳ - T. Hải Dương")</f>
        <v>NHNo Tứ Kỳ - Đường 391 H. Tứ Kỳ - T. Hải Dương</v>
      </c>
      <c r="G212" s="46" t="str">
        <f>IFERROR(__xludf.DUMMYFUNCTION("""COMPUTED_VALUE"""),"Máy báo lỗi 2.8")</f>
        <v>Máy báo lỗi 2.8</v>
      </c>
      <c r="H212" s="46"/>
      <c r="I212" s="46"/>
      <c r="J212" s="46" t="str">
        <f>IFERROR(__xludf.DUMMYFUNCTION("""COMPUTED_VALUE"""),"Thay cửa shuter")</f>
        <v>Thay cửa shuter</v>
      </c>
      <c r="K212" s="46" t="str">
        <f>IFERROR(__xludf.DUMMYFUNCTION("""COMPUTED_VALUE"""),"01 cửa shutter")</f>
        <v>01 cửa shutter</v>
      </c>
      <c r="L212" s="46"/>
      <c r="M212" s="46"/>
      <c r="N212" s="46"/>
      <c r="O212" s="46"/>
      <c r="P212" s="46"/>
      <c r="Q212" s="46" t="str">
        <f>IFERROR(__xludf.DUMMYFUNCTION("""COMPUTED_VALUE"""),"Hoàn thành")</f>
        <v>Hoàn thành</v>
      </c>
      <c r="R212" s="46"/>
      <c r="S212" s="46"/>
      <c r="T212" s="46"/>
      <c r="U212" s="46"/>
      <c r="V212" s="46"/>
      <c r="W212" s="46"/>
      <c r="X212" s="46"/>
      <c r="Y212" s="46"/>
      <c r="Z212" s="46"/>
      <c r="AA212" s="46"/>
    </row>
    <row r="213">
      <c r="A213" s="55">
        <f>IFERROR(__xludf.DUMMYFUNCTION("""COMPUTED_VALUE"""),44296.47514037037)</f>
        <v>44296.47514</v>
      </c>
      <c r="B213" s="56">
        <f>IFERROR(__xludf.DUMMYFUNCTION("""COMPUTED_VALUE"""),44292.0)</f>
        <v>44292</v>
      </c>
      <c r="C213" s="59" t="str">
        <f t="shared" si="3"/>
        <v>Báo cáo muộn</v>
      </c>
      <c r="D213" s="46" t="str">
        <f>IFERROR(__xludf.DUMMYFUNCTION("""COMPUTED_VALUE"""),"thangnx")</f>
        <v>thangnx</v>
      </c>
      <c r="E213" s="57" t="str">
        <f>IFERROR(__xludf.DUMMYFUNCTION("""COMPUTED_VALUE"""),"5310181317")</f>
        <v>5310181317</v>
      </c>
      <c r="F213" s="46" t="str">
        <f>IFERROR(__xludf.DUMMYFUNCTION("""COMPUTED_VALUE"""),"Agribank TP Cao Bằng, Tỉnh Cao Bằng")</f>
        <v>Agribank TP Cao Bằng, Tỉnh Cao Bằng</v>
      </c>
      <c r="G213" s="46" t="str">
        <f>IFERROR(__xludf.DUMMYFUNCTION("""COMPUTED_VALUE"""),"Lỗi BPTT")</f>
        <v>Lỗi BPTT</v>
      </c>
      <c r="H213" s="46"/>
      <c r="I213" s="46"/>
      <c r="J213" s="46"/>
      <c r="K213" s="46" t="str">
        <f>IFERROR(__xludf.DUMMYFUNCTION("""COMPUTED_VALUE"""),"01 bo ngang")</f>
        <v>01 bo ngang</v>
      </c>
      <c r="L213" s="46" t="str">
        <f>IFERROR(__xludf.DUMMYFUNCTION("""COMPUTED_VALUE"""),"01 bo đứng")</f>
        <v>01 bo đứng</v>
      </c>
      <c r="M213" s="46"/>
      <c r="N213" s="46"/>
      <c r="O213" s="46"/>
      <c r="P213" s="46"/>
      <c r="Q213" s="46" t="str">
        <f>IFERROR(__xludf.DUMMYFUNCTION("""COMPUTED_VALUE"""),"Hoàn thành")</f>
        <v>Hoàn thành</v>
      </c>
      <c r="R213" s="46"/>
      <c r="S213" s="46"/>
      <c r="T213" s="46"/>
      <c r="U213" s="46"/>
      <c r="V213" s="46"/>
      <c r="W213" s="46"/>
      <c r="X213" s="46"/>
      <c r="Y213" s="46"/>
      <c r="Z213" s="46"/>
      <c r="AA213" s="46"/>
    </row>
    <row r="214">
      <c r="A214" s="55">
        <f>IFERROR(__xludf.DUMMYFUNCTION("""COMPUTED_VALUE"""),44296.47565158565)</f>
        <v>44296.47565</v>
      </c>
      <c r="B214" s="56">
        <f>IFERROR(__xludf.DUMMYFUNCTION("""COMPUTED_VALUE"""),44293.0)</f>
        <v>44293</v>
      </c>
      <c r="C214" s="59" t="str">
        <f t="shared" si="3"/>
        <v>Báo cáo muộn</v>
      </c>
      <c r="D214" s="46" t="str">
        <f>IFERROR(__xludf.DUMMYFUNCTION("""COMPUTED_VALUE"""),"thangnx")</f>
        <v>thangnx</v>
      </c>
      <c r="E214" s="57" t="str">
        <f>IFERROR(__xludf.DUMMYFUNCTION("""COMPUTED_VALUE"""),"5310105869")</f>
        <v>5310105869</v>
      </c>
      <c r="F214" s="46" t="str">
        <f>IFERROR(__xludf.DUMMYFUNCTION("""COMPUTED_VALUE"""),"Hội sở chi nhánh, số 86 Duy Tân, phường Dịch Vọng Hậu, quận Cầu Giấy, Hà Nội")</f>
        <v>Hội sở chi nhánh, số 86 Duy Tân, phường Dịch Vọng Hậu, quận Cầu Giấy, Hà Nội</v>
      </c>
      <c r="G214" s="46" t="str">
        <f>IFERROR(__xludf.DUMMYFUNCTION("""COMPUTED_VALUE"""),"Tiền loại nhiều")</f>
        <v>Tiền loại nhiều</v>
      </c>
      <c r="H214" s="46"/>
      <c r="I214" s="46"/>
      <c r="J214" s="46" t="str">
        <f>IFERROR(__xludf.DUMMYFUNCTION("""COMPUTED_VALUE"""),"Vệ sinh pick roller, đổi ghép C")</f>
        <v>Vệ sinh pick roller, đổi ghép C</v>
      </c>
      <c r="K214" s="46"/>
      <c r="L214" s="46"/>
      <c r="M214" s="46"/>
      <c r="N214" s="46"/>
      <c r="O214" s="46"/>
      <c r="P214" s="46"/>
      <c r="Q214" s="46" t="str">
        <f>IFERROR(__xludf.DUMMYFUNCTION("""COMPUTED_VALUE"""),"Hoàn thành")</f>
        <v>Hoàn thành</v>
      </c>
      <c r="R214" s="46"/>
      <c r="S214" s="46"/>
      <c r="T214" s="46"/>
      <c r="U214" s="46"/>
      <c r="V214" s="46"/>
      <c r="W214" s="46"/>
      <c r="X214" s="46"/>
      <c r="Y214" s="46"/>
      <c r="Z214" s="46"/>
      <c r="AA214" s="46"/>
    </row>
    <row r="215">
      <c r="A215" s="55">
        <f>IFERROR(__xludf.DUMMYFUNCTION("""COMPUTED_VALUE"""),44296.4762805787)</f>
        <v>44296.47628</v>
      </c>
      <c r="B215" s="56">
        <f>IFERROR(__xludf.DUMMYFUNCTION("""COMPUTED_VALUE"""),44293.0)</f>
        <v>44293</v>
      </c>
      <c r="C215" s="59" t="str">
        <f t="shared" si="3"/>
        <v>Báo cáo muộn</v>
      </c>
      <c r="D215" s="46" t="str">
        <f>IFERROR(__xludf.DUMMYFUNCTION("""COMPUTED_VALUE"""),"thangnx")</f>
        <v>thangnx</v>
      </c>
      <c r="E215" s="57" t="str">
        <f>IFERROR(__xludf.DUMMYFUNCTION("""COMPUTED_VALUE"""),"5310142468")</f>
        <v>5310142468</v>
      </c>
      <c r="F215" s="46" t="str">
        <f>IFERROR(__xludf.DUMMYFUNCTION("""COMPUTED_VALUE"""),"")</f>
        <v/>
      </c>
      <c r="G215" s="46" t="str">
        <f>IFERROR(__xludf.DUMMYFUNCTION("""COMPUTED_VALUE"""),"Lỗi Sel")</f>
        <v>Lỗi Sel</v>
      </c>
      <c r="H215" s="46"/>
      <c r="I215" s="46"/>
      <c r="J215" s="46"/>
      <c r="K215" s="46" t="str">
        <f>IFERROR(__xludf.DUMMYFUNCTION("""COMPUTED_VALUE"""),"01 Sel lớn")</f>
        <v>01 Sel lớn</v>
      </c>
      <c r="L215" s="46"/>
      <c r="M215" s="46"/>
      <c r="N215" s="46"/>
      <c r="O215" s="46"/>
      <c r="P215" s="46"/>
      <c r="Q215" s="46" t="str">
        <f>IFERROR(__xludf.DUMMYFUNCTION("""COMPUTED_VALUE"""),"Hoàn thành")</f>
        <v>Hoàn thành</v>
      </c>
      <c r="R215" s="46"/>
      <c r="S215" s="46"/>
      <c r="T215" s="46"/>
      <c r="U215" s="46"/>
      <c r="V215" s="46"/>
      <c r="W215" s="46"/>
      <c r="X215" s="46"/>
      <c r="Y215" s="46"/>
      <c r="Z215" s="46"/>
      <c r="AA215" s="46"/>
    </row>
    <row r="216">
      <c r="A216" s="55">
        <f>IFERROR(__xludf.DUMMYFUNCTION("""COMPUTED_VALUE"""),44296.47687886574)</f>
        <v>44296.47688</v>
      </c>
      <c r="B216" s="56">
        <f>IFERROR(__xludf.DUMMYFUNCTION("""COMPUTED_VALUE"""),44294.0)</f>
        <v>44294</v>
      </c>
      <c r="C216" s="59" t="str">
        <f t="shared" si="3"/>
        <v>Báo cáo muộn</v>
      </c>
      <c r="D216" s="46" t="str">
        <f>IFERROR(__xludf.DUMMYFUNCTION("""COMPUTED_VALUE"""),"thangnx")</f>
        <v>thangnx</v>
      </c>
      <c r="E216" s="57" t="str">
        <f>IFERROR(__xludf.DUMMYFUNCTION("""COMPUTED_VALUE"""),"5310105339")</f>
        <v>5310105339</v>
      </c>
      <c r="F216" s="46" t="str">
        <f>IFERROR(__xludf.DUMMYFUNCTION("""COMPUTED_VALUE"""),"PGD KCN An Dương, Hải Phòng")</f>
        <v>PGD KCN An Dương, Hải Phòng</v>
      </c>
      <c r="G216" s="46" t="str">
        <f>IFERROR(__xludf.DUMMYFUNCTION("""COMPUTED_VALUE"""),"Bảo trì")</f>
        <v>Bảo trì</v>
      </c>
      <c r="H216" s="46"/>
      <c r="I216" s="46" t="str">
        <f>IFERROR(__xludf.DUMMYFUNCTION("""COMPUTED_VALUE"""),"Bảo trì")</f>
        <v>Bảo trì</v>
      </c>
      <c r="J216" s="46"/>
      <c r="K216" s="46"/>
      <c r="L216" s="46"/>
      <c r="M216" s="46"/>
      <c r="N216" s="46"/>
      <c r="O216" s="46"/>
      <c r="P216" s="46"/>
      <c r="Q216" s="46" t="str">
        <f>IFERROR(__xludf.DUMMYFUNCTION("""COMPUTED_VALUE"""),"Hoàn thành")</f>
        <v>Hoàn thành</v>
      </c>
      <c r="R216" s="46"/>
      <c r="S216" s="46"/>
      <c r="T216" s="46"/>
      <c r="U216" s="46"/>
      <c r="V216" s="46"/>
      <c r="W216" s="46"/>
      <c r="X216" s="46"/>
      <c r="Y216" s="46"/>
      <c r="Z216" s="46"/>
      <c r="AA216" s="46"/>
    </row>
    <row r="217">
      <c r="A217" s="55">
        <f>IFERROR(__xludf.DUMMYFUNCTION("""COMPUTED_VALUE"""),44296.47722693287)</f>
        <v>44296.47723</v>
      </c>
      <c r="B217" s="56">
        <f>IFERROR(__xludf.DUMMYFUNCTION("""COMPUTED_VALUE"""),44295.0)</f>
        <v>44295</v>
      </c>
      <c r="C217" s="59" t="str">
        <f t="shared" si="3"/>
        <v/>
      </c>
      <c r="D217" s="46" t="str">
        <f>IFERROR(__xludf.DUMMYFUNCTION("""COMPUTED_VALUE"""),"thangnx")</f>
        <v>thangnx</v>
      </c>
      <c r="E217" s="57" t="str">
        <f>IFERROR(__xludf.DUMMYFUNCTION("""COMPUTED_VALUE"""),"5300378276")</f>
        <v>5300378276</v>
      </c>
      <c r="F217" s="46" t="str">
        <f>IFERROR(__xludf.DUMMYFUNCTION("""COMPUTED_VALUE"""),"Số 2 Láng Hạ - Q.Ba Đình - Hà Nội")</f>
        <v>Số 2 Láng Hạ - Q.Ba Đình - Hà Nội</v>
      </c>
      <c r="G217" s="46" t="str">
        <f>IFERROR(__xludf.DUMMYFUNCTION("""COMPUTED_VALUE"""),"Ghost lại")</f>
        <v>Ghost lại</v>
      </c>
      <c r="H217" s="46"/>
      <c r="I217" s="46"/>
      <c r="J217" s="46" t="str">
        <f>IFERROR(__xludf.DUMMYFUNCTION("""COMPUTED_VALUE"""),"ghost bản mới")</f>
        <v>ghost bản mới</v>
      </c>
      <c r="K217" s="46"/>
      <c r="L217" s="46"/>
      <c r="M217" s="46"/>
      <c r="N217" s="46"/>
      <c r="O217" s="46"/>
      <c r="P217" s="46"/>
      <c r="Q217" s="46" t="str">
        <f>IFERROR(__xludf.DUMMYFUNCTION("""COMPUTED_VALUE"""),"Hoàn thành")</f>
        <v>Hoàn thành</v>
      </c>
      <c r="R217" s="46"/>
      <c r="S217" s="46"/>
      <c r="T217" s="46"/>
      <c r="U217" s="46"/>
      <c r="V217" s="46"/>
      <c r="W217" s="46"/>
      <c r="X217" s="46"/>
      <c r="Y217" s="46"/>
      <c r="Z217" s="46"/>
      <c r="AA217" s="46"/>
    </row>
    <row r="218">
      <c r="A218" s="55">
        <f>IFERROR(__xludf.DUMMYFUNCTION("""COMPUTED_VALUE"""),44296.477887546294)</f>
        <v>44296.47789</v>
      </c>
      <c r="B218" s="56">
        <f>IFERROR(__xludf.DUMMYFUNCTION("""COMPUTED_VALUE"""),44295.0)</f>
        <v>44295</v>
      </c>
      <c r="C218" s="59" t="str">
        <f t="shared" si="3"/>
        <v/>
      </c>
      <c r="D218" s="46" t="str">
        <f>IFERROR(__xludf.DUMMYFUNCTION("""COMPUTED_VALUE"""),"thangnx")</f>
        <v>thangnx</v>
      </c>
      <c r="E218" s="57" t="str">
        <f>IFERROR(__xludf.DUMMYFUNCTION("""COMPUTED_VALUE"""),"5300380642")</f>
        <v>5300380642</v>
      </c>
      <c r="F218" s="46" t="str">
        <f>IFERROR(__xludf.DUMMYFUNCTION("""COMPUTED_VALUE"""),"Thị trấn Lương Bằng - Kim Động - Hưng Yên")</f>
        <v>Thị trấn Lương Bằng - Kim Động - Hưng Yên</v>
      </c>
      <c r="G218" s="46" t="str">
        <f>IFERROR(__xludf.DUMMYFUNCTION("""COMPUTED_VALUE"""),"Ghost lại, lỗi máy in hóa đơn")</f>
        <v>Ghost lại, lỗi máy in hóa đơn</v>
      </c>
      <c r="H218" s="46"/>
      <c r="I218" s="46" t="str">
        <f>IFERROR(__xludf.DUMMYFUNCTION("""COMPUTED_VALUE"""),"Bảo trì")</f>
        <v>Bảo trì</v>
      </c>
      <c r="J218" s="46" t="str">
        <f>IFERROR(__xludf.DUMMYFUNCTION("""COMPUTED_VALUE"""),"Thay vòng cao , ghost lại máy")</f>
        <v>Thay vòng cao , ghost lại máy</v>
      </c>
      <c r="K218" s="46"/>
      <c r="L218" s="46"/>
      <c r="M218" s="46"/>
      <c r="N218" s="46"/>
      <c r="O218" s="46"/>
      <c r="P218" s="46"/>
      <c r="Q218" s="46" t="str">
        <f>IFERROR(__xludf.DUMMYFUNCTION("""COMPUTED_VALUE"""),"Hoàn thành")</f>
        <v>Hoàn thành</v>
      </c>
      <c r="R218" s="46"/>
      <c r="S218" s="46"/>
      <c r="T218" s="46"/>
      <c r="U218" s="46"/>
      <c r="V218" s="46"/>
      <c r="W218" s="46"/>
      <c r="X218" s="46"/>
      <c r="Y218" s="46"/>
      <c r="Z218" s="46"/>
      <c r="AA218" s="46"/>
    </row>
    <row r="219">
      <c r="A219" s="55">
        <f>IFERROR(__xludf.DUMMYFUNCTION("""COMPUTED_VALUE"""),44297.43681818287)</f>
        <v>44297.43682</v>
      </c>
      <c r="B219" s="56">
        <f>IFERROR(__xludf.DUMMYFUNCTION("""COMPUTED_VALUE"""),44292.0)</f>
        <v>44292</v>
      </c>
      <c r="C219" s="59" t="str">
        <f t="shared" si="3"/>
        <v>Báo cáo muộn</v>
      </c>
      <c r="D219" s="46" t="str">
        <f>IFERROR(__xludf.DUMMYFUNCTION("""COMPUTED_VALUE"""),"tienvm")</f>
        <v>tienvm</v>
      </c>
      <c r="E219" s="57" t="str">
        <f>IFERROR(__xludf.DUMMYFUNCTION("""COMPUTED_VALUE"""),"5310106163")</f>
        <v>5310106163</v>
      </c>
      <c r="F219" s="46" t="str">
        <f>IFERROR(__xludf.DUMMYFUNCTION("""COMPUTED_VALUE"""),"Số 12, xã Nhật Tân, H. Kim Bảng,   Hà Nam")</f>
        <v>Số 12, xã Nhật Tân, H. Kim Bảng,   Hà Nam</v>
      </c>
      <c r="G219" s="46" t="str">
        <f>IFERROR(__xludf.DUMMYFUNCTION("""COMPUTED_VALUE"""),"Lỗi cánh tay robot")</f>
        <v>Lỗi cánh tay robot</v>
      </c>
      <c r="H219" s="46"/>
      <c r="I219" s="46"/>
      <c r="J219" s="46" t="str">
        <f>IFERROR(__xludf.DUMMYFUNCTION("""COMPUTED_VALUE"""),"Cắt cáp clamp khoảng 15cm, thay thế clamp")</f>
        <v>Cắt cáp clamp khoảng 15cm, thay thế clamp</v>
      </c>
      <c r="K219" s="46" t="str">
        <f>IFERROR(__xludf.DUMMYFUNCTION("""COMPUTED_VALUE"""),"01 clamp")</f>
        <v>01 clamp</v>
      </c>
      <c r="L219" s="46"/>
      <c r="M219" s="46"/>
      <c r="N219" s="46"/>
      <c r="O219" s="46"/>
      <c r="P219" s="46" t="str">
        <f>IFERROR(__xludf.DUMMYFUNCTION("""COMPUTED_VALUE"""),"Sau khi xử lý, theo dõi đến khoảng 16h30 thấy thiết bị vẫn hoạt động tốt.")</f>
        <v>Sau khi xử lý, theo dõi đến khoảng 16h30 thấy thiết bị vẫn hoạt động tốt.</v>
      </c>
      <c r="Q219" s="46" t="str">
        <f>IFERROR(__xludf.DUMMYFUNCTION("""COMPUTED_VALUE"""),"Hoàn thành")</f>
        <v>Hoàn thành</v>
      </c>
      <c r="R219" s="46"/>
      <c r="S219" s="46"/>
      <c r="T219" s="46"/>
      <c r="U219" s="46"/>
      <c r="V219" s="46"/>
      <c r="W219" s="46"/>
      <c r="X219" s="46"/>
      <c r="Y219" s="46"/>
      <c r="Z219" s="46"/>
      <c r="AA219" s="46"/>
    </row>
    <row r="220">
      <c r="A220" s="55">
        <f>IFERROR(__xludf.DUMMYFUNCTION("""COMPUTED_VALUE"""),44297.43774309028)</f>
        <v>44297.43774</v>
      </c>
      <c r="B220" s="56">
        <f>IFERROR(__xludf.DUMMYFUNCTION("""COMPUTED_VALUE"""),44295.0)</f>
        <v>44295</v>
      </c>
      <c r="C220" s="59" t="str">
        <f t="shared" si="3"/>
        <v>Báo cáo muộn</v>
      </c>
      <c r="D220" s="46" t="str">
        <f>IFERROR(__xludf.DUMMYFUNCTION("""COMPUTED_VALUE"""),"tienvm")</f>
        <v>tienvm</v>
      </c>
      <c r="E220" s="57" t="str">
        <f>IFERROR(__xludf.DUMMYFUNCTION("""COMPUTED_VALUE"""),"5300378293")</f>
        <v>5300378293</v>
      </c>
      <c r="F220" s="46" t="str">
        <f>IFERROR(__xludf.DUMMYFUNCTION("""COMPUTED_VALUE"""),"Thị trấn Văn Giang - H. Văn Giang - Hưng Yên")</f>
        <v>Thị trấn Văn Giang - H. Văn Giang - Hưng Yên</v>
      </c>
      <c r="G220" s="46" t="str">
        <f>IFERROR(__xludf.DUMMYFUNCTION("""COMPUTED_VALUE"""),"Không rút được khay 50k")</f>
        <v>Không rút được khay 50k</v>
      </c>
      <c r="H220" s="46"/>
      <c r="I220" s="46"/>
      <c r="J220" s="46" t="str">
        <f>IFERROR(__xludf.DUMMYFUNCTION("""COMPUTED_VALUE"""),"Thay thế côn điện, vệ sinh tra dầu khay tiền")</f>
        <v>Thay thế côn điện, vệ sinh tra dầu khay tiền</v>
      </c>
      <c r="K220" s="46" t="str">
        <f>IFERROR(__xludf.DUMMYFUNCTION("""COMPUTED_VALUE"""),"01 côn điện")</f>
        <v>01 côn điện</v>
      </c>
      <c r="L220" s="46"/>
      <c r="M220" s="46"/>
      <c r="N220" s="46"/>
      <c r="O220" s="46"/>
      <c r="P220" s="46" t="str">
        <f>IFERROR(__xludf.DUMMYFUNCTION("""COMPUTED_VALUE"""),"Sau khi xử lý, theo dõi một số giao dịch ok, cần theo dõi thêm")</f>
        <v>Sau khi xử lý, theo dõi một số giao dịch ok, cần theo dõi thêm</v>
      </c>
      <c r="Q220" s="46" t="str">
        <f>IFERROR(__xludf.DUMMYFUNCTION("""COMPUTED_VALUE"""),"Hoàn thành")</f>
        <v>Hoàn thành</v>
      </c>
      <c r="R220" s="46"/>
      <c r="S220" s="46"/>
      <c r="T220" s="46"/>
      <c r="U220" s="46"/>
      <c r="V220" s="46"/>
      <c r="W220" s="46"/>
      <c r="X220" s="46"/>
      <c r="Y220" s="46"/>
      <c r="Z220" s="46"/>
      <c r="AA220" s="46"/>
    </row>
    <row r="221">
      <c r="A221" s="55">
        <f>IFERROR(__xludf.DUMMYFUNCTION("""COMPUTED_VALUE"""),44297.43956208334)</f>
        <v>44297.43956</v>
      </c>
      <c r="B221" s="56">
        <f>IFERROR(__xludf.DUMMYFUNCTION("""COMPUTED_VALUE"""),44295.0)</f>
        <v>44295</v>
      </c>
      <c r="C221" s="59" t="str">
        <f t="shared" si="3"/>
        <v>Báo cáo muộn</v>
      </c>
      <c r="D221" s="46" t="str">
        <f>IFERROR(__xludf.DUMMYFUNCTION("""COMPUTED_VALUE"""),"tienvm")</f>
        <v>tienvm</v>
      </c>
      <c r="E221" s="57" t="str">
        <f>IFERROR(__xludf.DUMMYFUNCTION("""COMPUTED_VALUE"""),"5310118069")</f>
        <v>5310118069</v>
      </c>
      <c r="F221" s="46" t="str">
        <f>IFERROR(__xludf.DUMMYFUNCTION("""COMPUTED_VALUE"""),"")</f>
        <v/>
      </c>
      <c r="G221" s="46" t="str">
        <f>IFERROR(__xludf.DUMMYFUNCTION("""COMPUTED_VALUE"""),"Tiền loại rất nhiều")</f>
        <v>Tiền loại rất nhiều</v>
      </c>
      <c r="H221" s="46"/>
      <c r="I221" s="46"/>
      <c r="J221" s="46" t="str">
        <f>IFERROR(__xludf.DUMMYFUNCTION("""COMPUTED_VALUE"""),"Đến trạng thái đang 01. Load lại fw cho bo cmd; thay thế DDU và học lại tiền, thay thế Ram CPU")</f>
        <v>Đến trạng thái đang 01. Load lại fw cho bo cmd; thay thế DDU và học lại tiền, thay thế Ram CPU</v>
      </c>
      <c r="K221" s="46" t="str">
        <f>IFERROR(__xludf.DUMMYFUNCTION("""COMPUTED_VALUE"""),"01 Bộ DDU")</f>
        <v>01 Bộ DDU</v>
      </c>
      <c r="L221" s="46" t="str">
        <f>IFERROR(__xludf.DUMMYFUNCTION("""COMPUTED_VALUE"""),"01 Ram CPU")</f>
        <v>01 Ram CPU</v>
      </c>
      <c r="M221" s="46"/>
      <c r="N221" s="46"/>
      <c r="O221" s="46"/>
      <c r="P221" s="46" t="str">
        <f>IFERROR(__xludf.DUMMYFUNCTION("""COMPUTED_VALUE"""),"Sau khi xử lý, theo dõi đến khoảng 16h30 thì tiền loại chỉ có 6 tờ. Cần theo dõi thêm")</f>
        <v>Sau khi xử lý, theo dõi đến khoảng 16h30 thì tiền loại chỉ có 6 tờ. Cần theo dõi thêm</v>
      </c>
      <c r="Q221" s="46" t="str">
        <f>IFERROR(__xludf.DUMMYFUNCTION("""COMPUTED_VALUE"""),"Hoàn thành")</f>
        <v>Hoàn thành</v>
      </c>
      <c r="R221" s="46"/>
      <c r="S221" s="46"/>
      <c r="T221" s="46"/>
      <c r="U221" s="46"/>
      <c r="V221" s="46"/>
      <c r="W221" s="46"/>
      <c r="X221" s="46"/>
      <c r="Y221" s="46"/>
      <c r="Z221" s="46"/>
      <c r="AA221" s="46"/>
    </row>
    <row r="222">
      <c r="A222" s="55">
        <f>IFERROR(__xludf.DUMMYFUNCTION("""COMPUTED_VALUE"""),44298.455982581014)</f>
        <v>44298.45598</v>
      </c>
      <c r="B222" s="56">
        <f>IFERROR(__xludf.DUMMYFUNCTION("""COMPUTED_VALUE"""),44298.0)</f>
        <v>44298</v>
      </c>
      <c r="C222" s="59" t="str">
        <f t="shared" si="3"/>
        <v/>
      </c>
      <c r="D222" s="46" t="str">
        <f>IFERROR(__xludf.DUMMYFUNCTION("""COMPUTED_VALUE"""),"Hieppn")</f>
        <v>Hieppn</v>
      </c>
      <c r="E222" s="57" t="str">
        <f>IFERROR(__xludf.DUMMYFUNCTION("""COMPUTED_VALUE"""),"5300380536")</f>
        <v>5300380536</v>
      </c>
      <c r="F222" s="46" t="str">
        <f>IFERROR(__xludf.DUMMYFUNCTION("""COMPUTED_VALUE"""),"PGD Khu Đông, xã Hùng Dũng, Hưng Hà, Thái Bình")</f>
        <v>PGD Khu Đông, xã Hùng Dũng, Hưng Hà, Thái Bình</v>
      </c>
      <c r="G222" s="46" t="str">
        <f>IFERROR(__xludf.DUMMYFUNCTION("""COMPUTED_VALUE"""),"Rác nhiều")</f>
        <v>Rác nhiều</v>
      </c>
      <c r="H222" s="46"/>
      <c r="I222" s="46"/>
      <c r="J222" s="46" t="str">
        <f>IFERROR(__xludf.DUMMYFUNCTION("""COMPUTED_VALUE"""),"Thay thế vệ sinh bộ trả tiền")</f>
        <v>Thay thế vệ sinh bộ trả tiền</v>
      </c>
      <c r="K222" s="46" t="str">
        <f>IFERROR(__xludf.DUMMYFUNCTION("""COMPUTED_VALUE"""),"02 trục ghép")</f>
        <v>02 trục ghép</v>
      </c>
      <c r="L222" s="46" t="str">
        <f>IFERROR(__xludf.DUMMYFUNCTION("""COMPUTED_VALUE"""),"02 trục cuốn ")</f>
        <v>02 trục cuốn </v>
      </c>
      <c r="M222" s="46" t="str">
        <f>IFERROR(__xludf.DUMMYFUNCTION("""COMPUTED_VALUE"""),"01 răng lược")</f>
        <v>01 răng lược</v>
      </c>
      <c r="N222" s="46"/>
      <c r="O222" s="46"/>
      <c r="P222" s="46"/>
      <c r="Q222" s="46" t="str">
        <f>IFERROR(__xludf.DUMMYFUNCTION("""COMPUTED_VALUE"""),"Hoàn thành")</f>
        <v>Hoàn thành</v>
      </c>
      <c r="R222" s="46"/>
      <c r="S222" s="46"/>
      <c r="T222" s="46"/>
      <c r="U222" s="46"/>
      <c r="V222" s="46"/>
      <c r="W222" s="46"/>
      <c r="X222" s="46"/>
      <c r="Y222" s="46"/>
      <c r="Z222" s="46"/>
      <c r="AA222" s="46"/>
    </row>
    <row r="223">
      <c r="A223" s="55">
        <f>IFERROR(__xludf.DUMMYFUNCTION("""COMPUTED_VALUE"""),44299.25952569445)</f>
        <v>44299.25953</v>
      </c>
      <c r="B223" s="56">
        <f>IFERROR(__xludf.DUMMYFUNCTION("""COMPUTED_VALUE"""),44292.0)</f>
        <v>44292</v>
      </c>
      <c r="C223" s="59" t="str">
        <f t="shared" si="3"/>
        <v>Báo cáo muộn</v>
      </c>
      <c r="D223" s="46" t="str">
        <f>IFERROR(__xludf.DUMMYFUNCTION("""COMPUTED_VALUE"""),"Tunt")</f>
        <v>Tunt</v>
      </c>
      <c r="E223" s="57" t="str">
        <f>IFERROR(__xludf.DUMMYFUNCTION("""COMPUTED_VALUE"""),"5300381479")</f>
        <v>5300381479</v>
      </c>
      <c r="F223" s="46" t="str">
        <f>IFERROR(__xludf.DUMMYFUNCTION("""COMPUTED_VALUE"""),"Thị trấn Xuân Hòa - H.Lập Trạch - Vĩnh Phúc")</f>
        <v>Thị trấn Xuân Hòa - H.Lập Trạch - Vĩnh Phúc</v>
      </c>
      <c r="G223" s="46" t="str">
        <f>IFERROR(__xludf.DUMMYFUNCTION("""COMPUTED_VALUE"""),"Lỗi tiền loại nhiều")</f>
        <v>Lỗi tiền loại nhiều</v>
      </c>
      <c r="H223" s="46"/>
      <c r="I223" s="46"/>
      <c r="J223" s="46" t="str">
        <f>IFERROR(__xludf.DUMMYFUNCTION("""COMPUTED_VALUE"""),"Thay thế 01 Ex")</f>
        <v>Thay thế 01 Ex</v>
      </c>
      <c r="K223" s="46"/>
      <c r="L223" s="46"/>
      <c r="M223" s="46"/>
      <c r="N223" s="46"/>
      <c r="O223" s="46"/>
      <c r="P223" s="46"/>
      <c r="Q223" s="46" t="str">
        <f>IFERROR(__xludf.DUMMYFUNCTION("""COMPUTED_VALUE"""),"Hoàn thành")</f>
        <v>Hoàn thành</v>
      </c>
      <c r="R223" s="46"/>
      <c r="S223" s="46"/>
      <c r="T223" s="46"/>
      <c r="U223" s="46"/>
      <c r="V223" s="46"/>
      <c r="W223" s="46"/>
      <c r="X223" s="46"/>
      <c r="Y223" s="46"/>
      <c r="Z223" s="46"/>
      <c r="AA223" s="46"/>
    </row>
    <row r="224">
      <c r="A224" s="55">
        <f>IFERROR(__xludf.DUMMYFUNCTION("""COMPUTED_VALUE"""),44299.26278528935)</f>
        <v>44299.26279</v>
      </c>
      <c r="B224" s="56">
        <f>IFERROR(__xludf.DUMMYFUNCTION("""COMPUTED_VALUE"""),44292.0)</f>
        <v>44292</v>
      </c>
      <c r="C224" s="59" t="str">
        <f t="shared" si="3"/>
        <v>Báo cáo muộn</v>
      </c>
      <c r="D224" s="46" t="str">
        <f>IFERROR(__xludf.DUMMYFUNCTION("""COMPUTED_VALUE"""),"Tunt")</f>
        <v>Tunt</v>
      </c>
      <c r="E224" s="57" t="str">
        <f>IFERROR(__xludf.DUMMYFUNCTION("""COMPUTED_VALUE"""),"5300380550")</f>
        <v>5300380550</v>
      </c>
      <c r="F224" s="46" t="str">
        <f>IFERROR(__xludf.DUMMYFUNCTION("""COMPUTED_VALUE"""),"Tầng 1,2,3 Tòa Diamond Flower Tower - 48 Lê Văn Lương, Thanh Xuân, Hà Nội")</f>
        <v>Tầng 1,2,3 Tòa Diamond Flower Tower - 48 Lê Văn Lương, Thanh Xuân, Hà Nội</v>
      </c>
      <c r="G224" s="46" t="str">
        <f>IFERROR(__xludf.DUMMYFUNCTION("""COMPUTED_VALUE"""),"Lỗi máy in")</f>
        <v>Lỗi máy in</v>
      </c>
      <c r="H224" s="46"/>
      <c r="I224" s="46" t="str">
        <f>IFERROR(__xludf.DUMMYFUNCTION("""COMPUTED_VALUE"""),"Bảo trì")</f>
        <v>Bảo trì</v>
      </c>
      <c r="J224" s="46" t="str">
        <f>IFERROR(__xludf.DUMMYFUNCTION("""COMPUTED_VALUE"""),"Thay thế cao su cuốn máy in")</f>
        <v>Thay thế cao su cuốn máy in</v>
      </c>
      <c r="K224" s="46"/>
      <c r="L224" s="46"/>
      <c r="M224" s="46"/>
      <c r="N224" s="46"/>
      <c r="O224" s="46"/>
      <c r="P224" s="46"/>
      <c r="Q224" s="46" t="str">
        <f>IFERROR(__xludf.DUMMYFUNCTION("""COMPUTED_VALUE"""),"Hoàn thành")</f>
        <v>Hoàn thành</v>
      </c>
      <c r="R224" s="46"/>
      <c r="S224" s="46"/>
      <c r="T224" s="46"/>
      <c r="U224" s="46"/>
      <c r="V224" s="46"/>
      <c r="W224" s="46"/>
      <c r="X224" s="46"/>
      <c r="Y224" s="46"/>
      <c r="Z224" s="46"/>
      <c r="AA224" s="46"/>
    </row>
    <row r="225">
      <c r="A225" s="55">
        <f>IFERROR(__xludf.DUMMYFUNCTION("""COMPUTED_VALUE"""),44299.26381579861)</f>
        <v>44299.26382</v>
      </c>
      <c r="B225" s="56">
        <f>IFERROR(__xludf.DUMMYFUNCTION("""COMPUTED_VALUE"""),44294.0)</f>
        <v>44294</v>
      </c>
      <c r="C225" s="59" t="str">
        <f t="shared" si="3"/>
        <v>Báo cáo muộn</v>
      </c>
      <c r="D225" s="46" t="str">
        <f>IFERROR(__xludf.DUMMYFUNCTION("""COMPUTED_VALUE"""),"Tunt")</f>
        <v>Tunt</v>
      </c>
      <c r="E225" s="57" t="str">
        <f>IFERROR(__xludf.DUMMYFUNCTION("""COMPUTED_VALUE"""),"5300381809")</f>
        <v>5300381809</v>
      </c>
      <c r="F225" s="46" t="str">
        <f>IFERROR(__xludf.DUMMYFUNCTION("""COMPUTED_VALUE"""),"BV Phúc Yên - P.Hùng Vương - Phúc Yên - Vĩnh Phúc")</f>
        <v>BV Phúc Yên - P.Hùng Vương - Phúc Yên - Vĩnh Phúc</v>
      </c>
      <c r="G225" s="46" t="str">
        <f>IFERROR(__xludf.DUMMYFUNCTION("""COMPUTED_VALUE"""),"Lỗi đầu đọc thẻ")</f>
        <v>Lỗi đầu đọc thẻ</v>
      </c>
      <c r="H225" s="46"/>
      <c r="I225" s="46"/>
      <c r="J225" s="46" t="str">
        <f>IFERROR(__xludf.DUMMYFUNCTION("""COMPUTED_VALUE"""),"Thay thế 2 trục cuốn")</f>
        <v>Thay thế 2 trục cuốn</v>
      </c>
      <c r="K225" s="46"/>
      <c r="L225" s="46"/>
      <c r="M225" s="46"/>
      <c r="N225" s="46"/>
      <c r="O225" s="46"/>
      <c r="P225" s="46"/>
      <c r="Q225" s="46" t="str">
        <f>IFERROR(__xludf.DUMMYFUNCTION("""COMPUTED_VALUE"""),"Hoàn thành")</f>
        <v>Hoàn thành</v>
      </c>
      <c r="R225" s="46"/>
      <c r="S225" s="46"/>
      <c r="T225" s="46"/>
      <c r="U225" s="46"/>
      <c r="V225" s="46"/>
      <c r="W225" s="46"/>
      <c r="X225" s="46"/>
      <c r="Y225" s="46"/>
      <c r="Z225" s="46"/>
      <c r="AA225" s="46"/>
    </row>
    <row r="226">
      <c r="A226" s="55">
        <f>IFERROR(__xludf.DUMMYFUNCTION("""COMPUTED_VALUE"""),44299.264652048616)</f>
        <v>44299.26465</v>
      </c>
      <c r="B226" s="56">
        <f>IFERROR(__xludf.DUMMYFUNCTION("""COMPUTED_VALUE"""),44295.0)</f>
        <v>44295</v>
      </c>
      <c r="C226" s="59" t="str">
        <f t="shared" si="3"/>
        <v>Báo cáo muộn</v>
      </c>
      <c r="D226" s="46" t="str">
        <f>IFERROR(__xludf.DUMMYFUNCTION("""COMPUTED_VALUE"""),"Tunt")</f>
        <v>Tunt</v>
      </c>
      <c r="E226" s="57" t="str">
        <f>IFERROR(__xludf.DUMMYFUNCTION("""COMPUTED_VALUE"""),"5300380502")</f>
        <v>5300380502</v>
      </c>
      <c r="F226" s="46" t="str">
        <f>IFERROR(__xludf.DUMMYFUNCTION("""COMPUTED_VALUE"""),"Cty CP Giày Phúc Yên - Đường Trần Phú - P.Phúc Thắng - Phúc Yên - Vĩnh Phúc")</f>
        <v>Cty CP Giày Phúc Yên - Đường Trần Phú - P.Phúc Thắng - Phúc Yên - Vĩnh Phúc</v>
      </c>
      <c r="G226" s="46" t="str">
        <f>IFERROR(__xludf.DUMMYFUNCTION("""COMPUTED_VALUE"""),"Lỗi bptt")</f>
        <v>Lỗi bptt</v>
      </c>
      <c r="H226" s="46"/>
      <c r="I226" s="46"/>
      <c r="J226" s="46" t="str">
        <f>IFERROR(__xludf.DUMMYFUNCTION("""COMPUTED_VALUE"""),"Căn chỉnh GAP")</f>
        <v>Căn chỉnh GAP</v>
      </c>
      <c r="K226" s="46"/>
      <c r="L226" s="46"/>
      <c r="M226" s="46"/>
      <c r="N226" s="46"/>
      <c r="O226" s="46"/>
      <c r="P226" s="46"/>
      <c r="Q226" s="46" t="str">
        <f>IFERROR(__xludf.DUMMYFUNCTION("""COMPUTED_VALUE"""),"Hoàn thành")</f>
        <v>Hoàn thành</v>
      </c>
      <c r="R226" s="46"/>
      <c r="S226" s="46"/>
      <c r="T226" s="46"/>
      <c r="U226" s="46"/>
      <c r="V226" s="46"/>
      <c r="W226" s="46"/>
      <c r="X226" s="46"/>
      <c r="Y226" s="46"/>
      <c r="Z226" s="46"/>
      <c r="AA226" s="46"/>
    </row>
    <row r="227">
      <c r="A227" s="55">
        <f>IFERROR(__xludf.DUMMYFUNCTION("""COMPUTED_VALUE"""),44299.265234189814)</f>
        <v>44299.26523</v>
      </c>
      <c r="B227" s="56">
        <f>IFERROR(__xludf.DUMMYFUNCTION("""COMPUTED_VALUE"""),44298.0)</f>
        <v>44298</v>
      </c>
      <c r="C227" s="59" t="str">
        <f t="shared" si="3"/>
        <v/>
      </c>
      <c r="D227" s="46" t="str">
        <f>IFERROR(__xludf.DUMMYFUNCTION("""COMPUTED_VALUE"""),"Tunt")</f>
        <v>Tunt</v>
      </c>
      <c r="E227" s="57" t="str">
        <f>IFERROR(__xludf.DUMMYFUNCTION("""COMPUTED_VALUE"""),"5310181317")</f>
        <v>5310181317</v>
      </c>
      <c r="F227" s="46" t="str">
        <f>IFERROR(__xludf.DUMMYFUNCTION("""COMPUTED_VALUE"""),"Agribank TP Cao Bằng, Tỉnh Cao Bằng")</f>
        <v>Agribank TP Cao Bằng, Tỉnh Cao Bằng</v>
      </c>
      <c r="G227" s="46" t="str">
        <f>IFERROR(__xludf.DUMMYFUNCTION("""COMPUTED_VALUE"""),"Lỗi máy in biên lai, bảo trì")</f>
        <v>Lỗi máy in biên lai, bảo trì</v>
      </c>
      <c r="H227" s="46"/>
      <c r="I227" s="46" t="str">
        <f>IFERROR(__xludf.DUMMYFUNCTION("""COMPUTED_VALUE"""),"Bảo trì")</f>
        <v>Bảo trì</v>
      </c>
      <c r="J227" s="46" t="str">
        <f>IFERROR(__xludf.DUMMYFUNCTION("""COMPUTED_VALUE"""),"Vệ sinh sensor m pre máy in")</f>
        <v>Vệ sinh sensor m pre máy in</v>
      </c>
      <c r="K227" s="46"/>
      <c r="L227" s="46"/>
      <c r="M227" s="46"/>
      <c r="N227" s="46"/>
      <c r="O227" s="46"/>
      <c r="P227" s="46"/>
      <c r="Q227" s="46" t="str">
        <f>IFERROR(__xludf.DUMMYFUNCTION("""COMPUTED_VALUE"""),"Hoàn thành")</f>
        <v>Hoàn thành</v>
      </c>
      <c r="R227" s="46"/>
      <c r="S227" s="46"/>
      <c r="T227" s="46"/>
      <c r="U227" s="46"/>
      <c r="V227" s="46"/>
      <c r="W227" s="46"/>
      <c r="X227" s="46"/>
      <c r="Y227" s="46"/>
      <c r="Z227" s="46"/>
      <c r="AA227" s="46"/>
    </row>
    <row r="228">
      <c r="A228" s="55">
        <f>IFERROR(__xludf.DUMMYFUNCTION("""COMPUTED_VALUE"""),44299.86710320602)</f>
        <v>44299.8671</v>
      </c>
      <c r="B228" s="56">
        <f>IFERROR(__xludf.DUMMYFUNCTION("""COMPUTED_VALUE"""),44299.0)</f>
        <v>44299</v>
      </c>
      <c r="C228" s="59" t="str">
        <f t="shared" si="3"/>
        <v/>
      </c>
      <c r="D228" s="46" t="str">
        <f>IFERROR(__xludf.DUMMYFUNCTION("""COMPUTED_VALUE"""),"thangnx")</f>
        <v>thangnx</v>
      </c>
      <c r="E228" s="57" t="str">
        <f>IFERROR(__xludf.DUMMYFUNCTION("""COMPUTED_VALUE"""),"5300378321")</f>
        <v>5300378321</v>
      </c>
      <c r="F228" s="46" t="str">
        <f>IFERROR(__xludf.DUMMYFUNCTION("""COMPUTED_VALUE"""),"Thôn Đại Bái - Xã Đại Thịnh - Mê Linh - Hà Nội")</f>
        <v>Thôn Đại Bái - Xã Đại Thịnh - Mê Linh - Hà Nội</v>
      </c>
      <c r="G228" s="46" t="str">
        <f>IFERROR(__xludf.DUMMYFUNCTION("""COMPUTED_VALUE"""),"Khay 200 rút được vài giao dịch lại ngừng")</f>
        <v>Khay 200 rút được vài giao dịch lại ngừng</v>
      </c>
      <c r="H228" s="46"/>
      <c r="I228" s="46"/>
      <c r="J228" s="46"/>
      <c r="K228" s="46" t="str">
        <f>IFERROR(__xludf.DUMMYFUNCTION("""COMPUTED_VALUE"""),"03 pick roller")</f>
        <v>03 pick roller</v>
      </c>
      <c r="L228" s="46"/>
      <c r="M228" s="46"/>
      <c r="N228" s="46"/>
      <c r="O228" s="46"/>
      <c r="P228" s="46" t="str">
        <f>IFERROR(__xludf.DUMMYFUNCTION("""COMPUTED_VALUE"""),"Clamp bị mòn bánh răng đồng, hoạt động kém, cần thay thế")</f>
        <v>Clamp bị mòn bánh răng đồng, hoạt động kém, cần thay thế</v>
      </c>
      <c r="Q228" s="46" t="str">
        <f>IFERROR(__xludf.DUMMYFUNCTION("""COMPUTED_VALUE"""),"Hoàn thành")</f>
        <v>Hoàn thành</v>
      </c>
      <c r="R228" s="46"/>
      <c r="S228" s="46"/>
      <c r="T228" s="46"/>
      <c r="U228" s="46"/>
      <c r="V228" s="46"/>
      <c r="W228" s="46"/>
      <c r="X228" s="46"/>
      <c r="Y228" s="46"/>
      <c r="Z228" s="46"/>
      <c r="AA228" s="46"/>
    </row>
    <row r="229">
      <c r="A229" s="55">
        <f>IFERROR(__xludf.DUMMYFUNCTION("""COMPUTED_VALUE"""),44300.56192385417)</f>
        <v>44300.56192</v>
      </c>
      <c r="B229" s="56">
        <f>IFERROR(__xludf.DUMMYFUNCTION("""COMPUTED_VALUE"""),44296.0)</f>
        <v>44296</v>
      </c>
      <c r="C229" s="59" t="str">
        <f t="shared" si="3"/>
        <v>Báo cáo muộn</v>
      </c>
      <c r="D229" s="46" t="str">
        <f>IFERROR(__xludf.DUMMYFUNCTION("""COMPUTED_VALUE"""),"hoathv")</f>
        <v>hoathv</v>
      </c>
      <c r="E229" s="57" t="str">
        <f>IFERROR(__xludf.DUMMYFUNCTION("""COMPUTED_VALUE"""),"5300380293")</f>
        <v>5300380293</v>
      </c>
      <c r="F229" s="46" t="str">
        <f>IFERROR(__xludf.DUMMYFUNCTION("""COMPUTED_VALUE"""),"Khu 1- TT Thanh Hà -H. Thanh Hà - T. Hải Dương")</f>
        <v>Khu 1- TT Thanh Hà -H. Thanh Hà - T. Hải Dương</v>
      </c>
      <c r="G229" s="46" t="str">
        <f>IFERROR(__xludf.DUMMYFUNCTION("""COMPUTED_VALUE"""),"Lỗi BPTT")</f>
        <v>Lỗi BPTT</v>
      </c>
      <c r="H229" s="46"/>
      <c r="I229" s="46"/>
      <c r="J229" s="46" t="str">
        <f>IFERROR(__xludf.DUMMYFUNCTION("""COMPUTED_VALUE"""),"Gỡ dây chun")</f>
        <v>Gỡ dây chun</v>
      </c>
      <c r="K229" s="46"/>
      <c r="L229" s="46"/>
      <c r="M229" s="46"/>
      <c r="N229" s="46"/>
      <c r="O229" s="46"/>
      <c r="P229" s="46"/>
      <c r="Q229" s="46" t="str">
        <f>IFERROR(__xludf.DUMMYFUNCTION("""COMPUTED_VALUE"""),"Hoàn thành")</f>
        <v>Hoàn thành</v>
      </c>
      <c r="R229" s="46"/>
      <c r="S229" s="46"/>
      <c r="T229" s="46"/>
      <c r="U229" s="46"/>
      <c r="V229" s="46"/>
      <c r="W229" s="46"/>
      <c r="X229" s="46"/>
      <c r="Y229" s="46"/>
      <c r="Z229" s="46"/>
      <c r="AA229" s="46"/>
    </row>
    <row r="230">
      <c r="A230" s="55">
        <f>IFERROR(__xludf.DUMMYFUNCTION("""COMPUTED_VALUE"""),44300.56218896991)</f>
        <v>44300.56219</v>
      </c>
      <c r="B230" s="56">
        <f>IFERROR(__xludf.DUMMYFUNCTION("""COMPUTED_VALUE"""),44299.0)</f>
        <v>44299</v>
      </c>
      <c r="C230" s="59" t="str">
        <f t="shared" si="3"/>
        <v/>
      </c>
      <c r="D230" s="46" t="str">
        <f>IFERROR(__xludf.DUMMYFUNCTION("""COMPUTED_VALUE"""),"hoathv")</f>
        <v>hoathv</v>
      </c>
      <c r="E230" s="57" t="str">
        <f>IFERROR(__xludf.DUMMYFUNCTION("""COMPUTED_VALUE"""),"5310105317")</f>
        <v>5310105317</v>
      </c>
      <c r="F230" s="46" t="str">
        <f>IFERROR(__xludf.DUMMYFUNCTION("""COMPUTED_VALUE"""),"Thôn Du La, xã Cẩm Chế, huyện Thanh Hà, Hải Dương")</f>
        <v>Thôn Du La, xã Cẩm Chế, huyện Thanh Hà, Hải Dương</v>
      </c>
      <c r="G230" s="46" t="str">
        <f>IFERROR(__xludf.DUMMYFUNCTION("""COMPUTED_VALUE"""),"Lỗi BPTT")</f>
        <v>Lỗi BPTT</v>
      </c>
      <c r="H230" s="46"/>
      <c r="I230" s="46"/>
      <c r="J230" s="46"/>
      <c r="K230" s="46" t="str">
        <f>IFERROR(__xludf.DUMMYFUNCTION("""COMPUTED_VALUE"""),"01 shutter")</f>
        <v>01 shutter</v>
      </c>
      <c r="L230" s="46"/>
      <c r="M230" s="46"/>
      <c r="N230" s="46"/>
      <c r="O230" s="46"/>
      <c r="P230" s="46"/>
      <c r="Q230" s="46" t="str">
        <f>IFERROR(__xludf.DUMMYFUNCTION("""COMPUTED_VALUE"""),"Hoàn thành")</f>
        <v>Hoàn thành</v>
      </c>
      <c r="R230" s="46"/>
      <c r="S230" s="46"/>
      <c r="T230" s="46"/>
      <c r="U230" s="46"/>
      <c r="V230" s="46"/>
      <c r="W230" s="46"/>
      <c r="X230" s="46"/>
      <c r="Y230" s="46"/>
      <c r="Z230" s="46"/>
      <c r="AA230" s="46"/>
    </row>
    <row r="231">
      <c r="A231" s="55">
        <f>IFERROR(__xludf.DUMMYFUNCTION("""COMPUTED_VALUE"""),44300.7689065625)</f>
        <v>44300.76891</v>
      </c>
      <c r="B231" s="56">
        <f>IFERROR(__xludf.DUMMYFUNCTION("""COMPUTED_VALUE"""),44300.0)</f>
        <v>44300</v>
      </c>
      <c r="C231" s="59" t="str">
        <f t="shared" si="3"/>
        <v/>
      </c>
      <c r="D231" s="46" t="str">
        <f>IFERROR(__xludf.DUMMYFUNCTION("""COMPUTED_VALUE"""),"thangnx")</f>
        <v>thangnx</v>
      </c>
      <c r="E231" s="57" t="str">
        <f>IFERROR(__xludf.DUMMYFUNCTION("""COMPUTED_VALUE"""),"5300379072")</f>
        <v>5300379072</v>
      </c>
      <c r="F231" s="46" t="str">
        <f>IFERROR(__xludf.DUMMYFUNCTION("""COMPUTED_VALUE"""),"Thị trấn Bình Gia, huyện Bình Gia, Lạng Sơn")</f>
        <v>Thị trấn Bình Gia, huyện Bình Gia, Lạng Sơn</v>
      </c>
      <c r="G231" s="46" t="str">
        <f>IFERROR(__xludf.DUMMYFUNCTION("""COMPUTED_VALUE"""),"Lỗi BPTT")</f>
        <v>Lỗi BPTT</v>
      </c>
      <c r="H231" s="46"/>
      <c r="I231" s="46"/>
      <c r="J231" s="46"/>
      <c r="K231" s="46" t="str">
        <f>IFERROR(__xludf.DUMMYFUNCTION("""COMPUTED_VALUE"""),"01 Presenter")</f>
        <v>01 Presenter</v>
      </c>
      <c r="L231" s="46"/>
      <c r="M231" s="46"/>
      <c r="N231" s="46"/>
      <c r="O231" s="46"/>
      <c r="P231" s="46"/>
      <c r="Q231" s="46" t="str">
        <f>IFERROR(__xludf.DUMMYFUNCTION("""COMPUTED_VALUE"""),"Hoàn thành")</f>
        <v>Hoàn thành</v>
      </c>
      <c r="R231" s="46"/>
      <c r="S231" s="46"/>
      <c r="T231" s="46"/>
      <c r="U231" s="46"/>
      <c r="V231" s="46"/>
      <c r="W231" s="46"/>
      <c r="X231" s="46"/>
      <c r="Y231" s="46"/>
      <c r="Z231" s="46"/>
      <c r="AA231" s="46"/>
    </row>
    <row r="232">
      <c r="A232" s="55">
        <f>IFERROR(__xludf.DUMMYFUNCTION("""COMPUTED_VALUE"""),44300.77040731482)</f>
        <v>44300.77041</v>
      </c>
      <c r="B232" s="56">
        <f>IFERROR(__xludf.DUMMYFUNCTION("""COMPUTED_VALUE"""),44300.0)</f>
        <v>44300</v>
      </c>
      <c r="C232" s="59" t="str">
        <f t="shared" si="3"/>
        <v/>
      </c>
      <c r="D232" s="46" t="str">
        <f>IFERROR(__xludf.DUMMYFUNCTION("""COMPUTED_VALUE"""),"thangnx")</f>
        <v>thangnx</v>
      </c>
      <c r="E232" s="57" t="str">
        <f>IFERROR(__xludf.DUMMYFUNCTION("""COMPUTED_VALUE"""),"5310107036")</f>
        <v>5310107036</v>
      </c>
      <c r="F232" s="46" t="str">
        <f>IFERROR(__xludf.DUMMYFUNCTION("""COMPUTED_VALUE"""),"Thị trấn Đình Cả, Võ Nhai, huyện Võ Nhai, Thái Nguyên")</f>
        <v>Thị trấn Đình Cả, Võ Nhai, huyện Võ Nhai, Thái Nguyên</v>
      </c>
      <c r="G232" s="46" t="str">
        <f>IFERROR(__xludf.DUMMYFUNCTION("""COMPUTED_VALUE"""),"Hay bị kẹt tiền cửa khay")</f>
        <v>Hay bị kẹt tiền cửa khay</v>
      </c>
      <c r="H232" s="46"/>
      <c r="I232" s="46"/>
      <c r="J232" s="46" t="str">
        <f>IFERROR(__xludf.DUMMYFUNCTION("""COMPUTED_VALUE"""),"Đảo 2 ex cho nhau")</f>
        <v>Đảo 2 ex cho nhau</v>
      </c>
      <c r="K232" s="46" t="str">
        <f>IFERROR(__xludf.DUMMYFUNCTION("""COMPUTED_VALUE"""),"01 côn điện")</f>
        <v>01 côn điện</v>
      </c>
      <c r="L232" s="46"/>
      <c r="M232" s="46"/>
      <c r="N232" s="46"/>
      <c r="O232" s="46"/>
      <c r="P232" s="46"/>
      <c r="Q232" s="46" t="str">
        <f>IFERROR(__xludf.DUMMYFUNCTION("""COMPUTED_VALUE"""),"Không hoàn thành")</f>
        <v>Không hoàn thành</v>
      </c>
      <c r="R232" s="46" t="str">
        <f>IFERROR(__xludf.DUMMYFUNCTION("""COMPUTED_VALUE"""),"Máy lỗi phần mềm, không start được ứng dụng. Hết giờ làm nên hẹn khách hàng ngày hôm sau xử lý")</f>
        <v>Máy lỗi phần mềm, không start được ứng dụng. Hết giờ làm nên hẹn khách hàng ngày hôm sau xử lý</v>
      </c>
      <c r="S232" s="46"/>
      <c r="T232" s="46"/>
      <c r="U232" s="46"/>
      <c r="V232" s="46"/>
      <c r="W232" s="46"/>
      <c r="X232" s="46"/>
      <c r="Y232" s="46"/>
      <c r="Z232" s="46"/>
      <c r="AA232" s="46"/>
    </row>
    <row r="233">
      <c r="A233" s="55">
        <f>IFERROR(__xludf.DUMMYFUNCTION("""COMPUTED_VALUE"""),44301.39703421296)</f>
        <v>44301.39703</v>
      </c>
      <c r="B233" s="56">
        <f>IFERROR(__xludf.DUMMYFUNCTION("""COMPUTED_VALUE"""),44295.0)</f>
        <v>44295</v>
      </c>
      <c r="C233" s="59" t="str">
        <f t="shared" si="3"/>
        <v>Báo cáo muộn</v>
      </c>
      <c r="D233" s="46" t="str">
        <f>IFERROR(__xludf.DUMMYFUNCTION("""COMPUTED_VALUE"""),"Duclb")</f>
        <v>Duclb</v>
      </c>
      <c r="E233" s="57" t="str">
        <f>IFERROR(__xludf.DUMMYFUNCTION("""COMPUTED_VALUE"""),"5300380383")</f>
        <v>5300380383</v>
      </c>
      <c r="F233" s="46" t="str">
        <f>IFERROR(__xludf.DUMMYFUNCTION("""COMPUTED_VALUE"""),"NHNo Đồng Bành, Chi Lăng, Lạng Sơn")</f>
        <v>NHNo Đồng Bành, Chi Lăng, Lạng Sơn</v>
      </c>
      <c r="G233" s="46" t="str">
        <f>IFERROR(__xludf.DUMMYFUNCTION("""COMPUTED_VALUE"""),"Lỗi ")</f>
        <v>Lỗi </v>
      </c>
      <c r="H233" s="46"/>
      <c r="I233" s="46" t="str">
        <f>IFERROR(__xludf.DUMMYFUNCTION("""COMPUTED_VALUE"""),"Bảo trì")</f>
        <v>Bảo trì</v>
      </c>
      <c r="J233" s="46"/>
      <c r="K233" s="46"/>
      <c r="L233" s="46"/>
      <c r="M233" s="46"/>
      <c r="N233" s="46"/>
      <c r="O233" s="46"/>
      <c r="P233" s="46"/>
      <c r="Q233" s="46" t="str">
        <f>IFERROR(__xludf.DUMMYFUNCTION("""COMPUTED_VALUE"""),"Hoàn thành")</f>
        <v>Hoàn thành</v>
      </c>
      <c r="R233" s="46"/>
      <c r="S233" s="46"/>
      <c r="T233" s="46"/>
      <c r="U233" s="46"/>
      <c r="V233" s="46"/>
      <c r="W233" s="46"/>
      <c r="X233" s="46"/>
      <c r="Y233" s="46"/>
      <c r="Z233" s="46"/>
      <c r="AA233" s="46"/>
    </row>
    <row r="234">
      <c r="A234" s="55">
        <f>IFERROR(__xludf.DUMMYFUNCTION("""COMPUTED_VALUE"""),44301.39776328704)</f>
        <v>44301.39776</v>
      </c>
      <c r="B234" s="56">
        <f>IFERROR(__xludf.DUMMYFUNCTION("""COMPUTED_VALUE"""),44295.0)</f>
        <v>44295</v>
      </c>
      <c r="C234" s="59" t="str">
        <f t="shared" si="3"/>
        <v>Báo cáo muộn</v>
      </c>
      <c r="D234" s="46" t="str">
        <f>IFERROR(__xludf.DUMMYFUNCTION("""COMPUTED_VALUE"""),"Duclb")</f>
        <v>Duclb</v>
      </c>
      <c r="E234" s="57" t="str">
        <f>IFERROR(__xludf.DUMMYFUNCTION("""COMPUTED_VALUE"""),"5310180800")</f>
        <v>5310180800</v>
      </c>
      <c r="F234" s="46" t="str">
        <f>IFERROR(__xludf.DUMMYFUNCTION("""COMPUTED_VALUE"""),"Khu 4B, TT Cồn, huyện Hải Hậu, Nam Định")</f>
        <v>Khu 4B, TT Cồn, huyện Hải Hậu, Nam Định</v>
      </c>
      <c r="G234" s="46" t="str">
        <f>IFERROR(__xludf.DUMMYFUNCTION("""COMPUTED_VALUE"""),"Lỗi 25")</f>
        <v>Lỗi 25</v>
      </c>
      <c r="H234" s="46"/>
      <c r="I234" s="46" t="str">
        <f>IFERROR(__xludf.DUMMYFUNCTION("""COMPUTED_VALUE"""),"Bảo trì")</f>
        <v>Bảo trì</v>
      </c>
      <c r="J234" s="46"/>
      <c r="K234" s="46" t="str">
        <f>IFERROR(__xludf.DUMMYFUNCTION("""COMPUTED_VALUE"""),"01 moto presenter")</f>
        <v>01 moto presenter</v>
      </c>
      <c r="L234" s="46"/>
      <c r="M234" s="46"/>
      <c r="N234" s="46"/>
      <c r="O234" s="46"/>
      <c r="P234" s="46"/>
      <c r="Q234" s="46" t="str">
        <f>IFERROR(__xludf.DUMMYFUNCTION("""COMPUTED_VALUE"""),"Hoàn thành")</f>
        <v>Hoàn thành</v>
      </c>
      <c r="R234" s="46"/>
      <c r="S234" s="46"/>
      <c r="T234" s="46"/>
      <c r="U234" s="46"/>
      <c r="V234" s="46"/>
      <c r="W234" s="46"/>
      <c r="X234" s="46"/>
      <c r="Y234" s="46"/>
      <c r="Z234" s="46"/>
      <c r="AA234" s="46"/>
    </row>
    <row r="235">
      <c r="A235" s="55">
        <f>IFERROR(__xludf.DUMMYFUNCTION("""COMPUTED_VALUE"""),44301.62571530092)</f>
        <v>44301.62572</v>
      </c>
      <c r="B235" s="56">
        <f>IFERROR(__xludf.DUMMYFUNCTION("""COMPUTED_VALUE"""),44301.0)</f>
        <v>44301</v>
      </c>
      <c r="C235" s="59" t="str">
        <f t="shared" si="3"/>
        <v/>
      </c>
      <c r="D235" s="46" t="str">
        <f>IFERROR(__xludf.DUMMYFUNCTION("""COMPUTED_VALUE"""),"Anhhl")</f>
        <v>Anhhl</v>
      </c>
      <c r="E235" s="57" t="str">
        <f>IFERROR(__xludf.DUMMYFUNCTION("""COMPUTED_VALUE"""),"5310105354")</f>
        <v>5310105354</v>
      </c>
      <c r="F235" s="46" t="str">
        <f>IFERROR(__xludf.DUMMYFUNCTION("""COMPUTED_VALUE"""),"Khu 4, thị trấn Yên Định, huyện Hải Hậu, Nam Định")</f>
        <v>Khu 4, thị trấn Yên Định, huyện Hải Hậu, Nam Định</v>
      </c>
      <c r="G235" s="46" t="str">
        <f>IFERROR(__xludf.DUMMYFUNCTION("""COMPUTED_VALUE"""),"Bảo trì")</f>
        <v>Bảo trì</v>
      </c>
      <c r="H235" s="46"/>
      <c r="I235" s="46" t="str">
        <f>IFERROR(__xludf.DUMMYFUNCTION("""COMPUTED_VALUE"""),"Bảo trì")</f>
        <v>Bảo trì</v>
      </c>
      <c r="J235" s="46"/>
      <c r="K235" s="46"/>
      <c r="L235" s="46"/>
      <c r="M235" s="46"/>
      <c r="N235" s="46"/>
      <c r="O235" s="46"/>
      <c r="P235" s="46"/>
      <c r="Q235" s="46" t="str">
        <f>IFERROR(__xludf.DUMMYFUNCTION("""COMPUTED_VALUE"""),"Hoàn thành")</f>
        <v>Hoàn thành</v>
      </c>
      <c r="R235" s="46"/>
      <c r="S235" s="46"/>
      <c r="T235" s="46"/>
      <c r="U235" s="46"/>
      <c r="V235" s="46"/>
      <c r="W235" s="46"/>
      <c r="X235" s="46"/>
      <c r="Y235" s="46"/>
      <c r="Z235" s="46"/>
      <c r="AA235" s="46"/>
    </row>
    <row r="236">
      <c r="A236" s="55">
        <f>IFERROR(__xludf.DUMMYFUNCTION("""COMPUTED_VALUE"""),44303.7180065162)</f>
        <v>44303.71801</v>
      </c>
      <c r="B236" s="56">
        <f>IFERROR(__xludf.DUMMYFUNCTION("""COMPUTED_VALUE"""),44300.0)</f>
        <v>44300</v>
      </c>
      <c r="C236" s="59" t="str">
        <f t="shared" si="3"/>
        <v>Báo cáo muộn</v>
      </c>
      <c r="D236" s="46" t="str">
        <f>IFERROR(__xludf.DUMMYFUNCTION("""COMPUTED_VALUE"""),"Tunt")</f>
        <v>Tunt</v>
      </c>
      <c r="E236" s="57" t="str">
        <f>IFERROR(__xludf.DUMMYFUNCTION("""COMPUTED_VALUE"""),"5310107028")</f>
        <v>5310107028</v>
      </c>
      <c r="F236" s="46" t="str">
        <f>IFERROR(__xludf.DUMMYFUNCTION("""COMPUTED_VALUE"""),"Số 43 đường Đinh Tiên Hoàng, TP. Yên Bái")</f>
        <v>Số 43 đường Đinh Tiên Hoàng, TP. Yên Bái</v>
      </c>
      <c r="G236" s="46" t="str">
        <f>IFERROR(__xludf.DUMMYFUNCTION("""COMPUTED_VALUE"""),"Lỗi 2-1")</f>
        <v>Lỗi 2-1</v>
      </c>
      <c r="H236" s="46"/>
      <c r="I236" s="46"/>
      <c r="J236" s="46" t="str">
        <f>IFERROR(__xludf.DUMMYFUNCTION("""COMPUTED_VALUE"""),"Căn chỉnh DDU")</f>
        <v>Căn chỉnh DDU</v>
      </c>
      <c r="K236" s="46"/>
      <c r="L236" s="46"/>
      <c r="M236" s="46"/>
      <c r="N236" s="46"/>
      <c r="O236" s="46"/>
      <c r="P236" s="46"/>
      <c r="Q236" s="46" t="str">
        <f>IFERROR(__xludf.DUMMYFUNCTION("""COMPUTED_VALUE"""),"Hoàn thành")</f>
        <v>Hoàn thành</v>
      </c>
      <c r="R236" s="46"/>
      <c r="S236" s="46"/>
      <c r="T236" s="46"/>
      <c r="U236" s="46"/>
      <c r="V236" s="46"/>
      <c r="W236" s="46"/>
      <c r="X236" s="46"/>
      <c r="Y236" s="46"/>
      <c r="Z236" s="46"/>
      <c r="AA236" s="46"/>
    </row>
    <row r="237">
      <c r="A237" s="55">
        <f>IFERROR(__xludf.DUMMYFUNCTION("""COMPUTED_VALUE"""),44303.71905850695)</f>
        <v>44303.71906</v>
      </c>
      <c r="B237" s="56">
        <f>IFERROR(__xludf.DUMMYFUNCTION("""COMPUTED_VALUE"""),44302.0)</f>
        <v>44302</v>
      </c>
      <c r="C237" s="59" t="str">
        <f t="shared" si="3"/>
        <v/>
      </c>
      <c r="D237" s="46" t="str">
        <f>IFERROR(__xludf.DUMMYFUNCTION("""COMPUTED_VALUE"""),"Tunt")</f>
        <v>Tunt</v>
      </c>
      <c r="E237" s="57" t="str">
        <f>IFERROR(__xludf.DUMMYFUNCTION("""COMPUTED_VALUE"""),"5310107039")</f>
        <v>5310107039</v>
      </c>
      <c r="F237" s="46" t="str">
        <f>IFERROR(__xludf.DUMMYFUNCTION("""COMPUTED_VALUE"""),"Số 96 đường Võ Nguyên Giáp, TT Phố Ràng, H. Bảo Yên, Lào Cai")</f>
        <v>Số 96 đường Võ Nguyên Giáp, TT Phố Ràng, H. Bảo Yên, Lào Cai</v>
      </c>
      <c r="G237" s="46" t="str">
        <f>IFERROR(__xludf.DUMMYFUNCTION("""COMPUTED_VALUE"""),"Lỗi 0-1")</f>
        <v>Lỗi 0-1</v>
      </c>
      <c r="H237" s="46"/>
      <c r="I237" s="46"/>
      <c r="J237" s="46" t="str">
        <f>IFERROR(__xludf.DUMMYFUNCTION("""COMPUTED_VALUE"""),"Clear Cmos")</f>
        <v>Clear Cmos</v>
      </c>
      <c r="K237" s="46"/>
      <c r="L237" s="46"/>
      <c r="M237" s="46"/>
      <c r="N237" s="46"/>
      <c r="O237" s="46"/>
      <c r="P237" s="46"/>
      <c r="Q237" s="46" t="str">
        <f>IFERROR(__xludf.DUMMYFUNCTION("""COMPUTED_VALUE"""),"Hoàn thành")</f>
        <v>Hoàn thành</v>
      </c>
      <c r="R237" s="46"/>
      <c r="S237" s="46"/>
      <c r="T237" s="46"/>
      <c r="U237" s="46"/>
      <c r="V237" s="46"/>
      <c r="W237" s="46"/>
      <c r="X237" s="46"/>
      <c r="Y237" s="46"/>
      <c r="Z237" s="46"/>
      <c r="AA237" s="46"/>
    </row>
    <row r="238">
      <c r="A238" s="55">
        <f>IFERROR(__xludf.DUMMYFUNCTION("""COMPUTED_VALUE"""),44303.80593614583)</f>
        <v>44303.80594</v>
      </c>
      <c r="B238" s="56">
        <f>IFERROR(__xludf.DUMMYFUNCTION("""COMPUTED_VALUE"""),44303.0)</f>
        <v>44303</v>
      </c>
      <c r="C238" s="59" t="str">
        <f t="shared" si="3"/>
        <v/>
      </c>
      <c r="D238" s="46" t="str">
        <f>IFERROR(__xludf.DUMMYFUNCTION("""COMPUTED_VALUE"""),"Duclb")</f>
        <v>Duclb</v>
      </c>
      <c r="E238" s="57" t="str">
        <f>IFERROR(__xludf.DUMMYFUNCTION("""COMPUTED_VALUE"""),"5310107225")</f>
        <v>5310107225</v>
      </c>
      <c r="F238" s="46" t="str">
        <f>IFERROR(__xludf.DUMMYFUNCTION("""COMPUTED_VALUE"""),"Số 70 đường 19-5 thị trấn Phố Lu, huyện Bảo Thắng, Lào Cai")</f>
        <v>Số 70 đường 19-5 thị trấn Phố Lu, huyện Bảo Thắng, Lào Cai</v>
      </c>
      <c r="G238" s="46" t="str">
        <f>IFERROR(__xludf.DUMMYFUNCTION("""COMPUTED_VALUE"""),"Lỗi 41, 44")</f>
        <v>Lỗi 41, 44</v>
      </c>
      <c r="H238" s="46"/>
      <c r="I238" s="46"/>
      <c r="J238" s="46" t="str">
        <f>IFERROR(__xludf.DUMMYFUNCTION("""COMPUTED_VALUE"""),"Nối lại dây điện bị đứt")</f>
        <v>Nối lại dây điện bị đứt</v>
      </c>
      <c r="K238" s="46"/>
      <c r="L238" s="46"/>
      <c r="M238" s="46"/>
      <c r="N238" s="46"/>
      <c r="O238" s="46"/>
      <c r="P238" s="46" t="str">
        <f>IFERROR(__xludf.DUMMYFUNCTION("""COMPUTED_VALUE"""),"Máy bị lỗii đầu đọc thẻ chip")</f>
        <v>Máy bị lỗii đầu đọc thẻ chip</v>
      </c>
      <c r="Q238" s="46" t="str">
        <f>IFERROR(__xludf.DUMMYFUNCTION("""COMPUTED_VALUE"""),"Hoàn thành")</f>
        <v>Hoàn thành</v>
      </c>
      <c r="R238" s="46"/>
      <c r="S238" s="46"/>
      <c r="T238" s="46"/>
      <c r="U238" s="46"/>
      <c r="V238" s="46"/>
      <c r="W238" s="46"/>
      <c r="X238" s="46"/>
      <c r="Y238" s="46"/>
      <c r="Z238" s="46"/>
      <c r="AA238" s="46"/>
    </row>
    <row r="239">
      <c r="A239" s="55">
        <f>IFERROR(__xludf.DUMMYFUNCTION("""COMPUTED_VALUE"""),44303.80627622685)</f>
        <v>44303.80628</v>
      </c>
      <c r="B239" s="56">
        <f>IFERROR(__xludf.DUMMYFUNCTION("""COMPUTED_VALUE"""),44303.0)</f>
        <v>44303</v>
      </c>
      <c r="C239" s="59" t="str">
        <f t="shared" si="3"/>
        <v/>
      </c>
      <c r="D239" s="46" t="str">
        <f>IFERROR(__xludf.DUMMYFUNCTION("""COMPUTED_VALUE"""),"Duclb")</f>
        <v>Duclb</v>
      </c>
      <c r="E239" s="57" t="str">
        <f>IFERROR(__xludf.DUMMYFUNCTION("""COMPUTED_VALUE"""),"5300381738")</f>
        <v>5300381738</v>
      </c>
      <c r="F239" s="46" t="str">
        <f>IFERROR(__xludf.DUMMYFUNCTION("""COMPUTED_VALUE"""),"70 đường 19 tháng 5 - Thị trấn Phố Lu")</f>
        <v>70 đường 19 tháng 5 - Thị trấn Phố Lu</v>
      </c>
      <c r="G239" s="46" t="str">
        <f>IFERROR(__xludf.DUMMYFUNCTION("""COMPUTED_VALUE"""),"Lỗi 22")</f>
        <v>Lỗi 22</v>
      </c>
      <c r="H239" s="46"/>
      <c r="I239" s="46"/>
      <c r="J239" s="46"/>
      <c r="K239" s="46" t="str">
        <f>IFERROR(__xludf.DUMMYFUNCTION("""COMPUTED_VALUE"""),"01 extractor")</f>
        <v>01 extractor</v>
      </c>
      <c r="L239" s="46"/>
      <c r="M239" s="46"/>
      <c r="N239" s="46"/>
      <c r="O239" s="46"/>
      <c r="P239" s="46"/>
      <c r="Q239" s="46" t="str">
        <f>IFERROR(__xludf.DUMMYFUNCTION("""COMPUTED_VALUE"""),"Hoàn thành")</f>
        <v>Hoàn thành</v>
      </c>
      <c r="R239" s="46"/>
      <c r="S239" s="46"/>
      <c r="T239" s="46"/>
      <c r="U239" s="46"/>
      <c r="V239" s="46"/>
      <c r="W239" s="46"/>
      <c r="X239" s="46"/>
      <c r="Y239" s="46"/>
      <c r="Z239" s="46"/>
      <c r="AA239" s="46"/>
    </row>
    <row r="240">
      <c r="A240" s="55">
        <f>IFERROR(__xludf.DUMMYFUNCTION("""COMPUTED_VALUE"""),44304.871434733795)</f>
        <v>44304.87143</v>
      </c>
      <c r="B240" s="56">
        <f>IFERROR(__xludf.DUMMYFUNCTION("""COMPUTED_VALUE"""),44442.0)</f>
        <v>44442</v>
      </c>
      <c r="C240" s="59" t="str">
        <f t="shared" si="3"/>
        <v/>
      </c>
      <c r="D240" s="46" t="str">
        <f>IFERROR(__xludf.DUMMYFUNCTION("""COMPUTED_VALUE"""),"HaNH")</f>
        <v>HaNH</v>
      </c>
      <c r="E240" s="57" t="str">
        <f>IFERROR(__xludf.DUMMYFUNCTION("""COMPUTED_VALUE"""),"5310107313")</f>
        <v>5310107313</v>
      </c>
      <c r="F240" s="46" t="str">
        <f>IFERROR(__xludf.DUMMYFUNCTION("""COMPUTED_VALUE"""),"Số 288 đường Giải Phóng, thị trấn Mường Khương, huyện Mường Khương, Lào Cai")</f>
        <v>Số 288 đường Giải Phóng, thị trấn Mường Khương, huyện Mường Khương, Lào Cai</v>
      </c>
      <c r="G240" s="46" t="str">
        <f>IFERROR(__xludf.DUMMYFUNCTION("""COMPUTED_VALUE"""),"Không nhận khay tiền")</f>
        <v>Không nhận khay tiền</v>
      </c>
      <c r="H240" s="46"/>
      <c r="I240" s="46"/>
      <c r="J240" s="46" t="str">
        <f>IFERROR(__xludf.DUMMYFUNCTION("""COMPUTED_VALUE"""),"Clear CMos, Học lại tiền")</f>
        <v>Clear CMos, Học lại tiền</v>
      </c>
      <c r="K240" s="46"/>
      <c r="L240" s="46"/>
      <c r="M240" s="46"/>
      <c r="N240" s="46"/>
      <c r="O240" s="46"/>
      <c r="P240" s="46"/>
      <c r="Q240" s="46" t="str">
        <f>IFERROR(__xludf.DUMMYFUNCTION("""COMPUTED_VALUE"""),"Hoàn thành")</f>
        <v>Hoàn thành</v>
      </c>
      <c r="R240" s="46"/>
      <c r="S240" s="46"/>
      <c r="T240" s="46"/>
      <c r="U240" s="46"/>
      <c r="V240" s="46"/>
      <c r="W240" s="46"/>
      <c r="X240" s="46"/>
      <c r="Y240" s="46"/>
      <c r="Z240" s="46"/>
      <c r="AA240" s="46"/>
    </row>
    <row r="241">
      <c r="A241" s="55">
        <f>IFERROR(__xludf.DUMMYFUNCTION("""COMPUTED_VALUE"""),44304.87219780093)</f>
        <v>44304.8722</v>
      </c>
      <c r="B241" s="56">
        <f>IFERROR(__xludf.DUMMYFUNCTION("""COMPUTED_VALUE"""),44472.0)</f>
        <v>44472</v>
      </c>
      <c r="C241" s="59" t="str">
        <f t="shared" si="3"/>
        <v/>
      </c>
      <c r="D241" s="46" t="str">
        <f>IFERROR(__xludf.DUMMYFUNCTION("""COMPUTED_VALUE"""),"HaNH")</f>
        <v>HaNH</v>
      </c>
      <c r="E241" s="57" t="str">
        <f>IFERROR(__xludf.DUMMYFUNCTION("""COMPUTED_VALUE"""),"5300380928")</f>
        <v>5300380928</v>
      </c>
      <c r="F241" s="46" t="str">
        <f>IFERROR(__xludf.DUMMYFUNCTION("""COMPUTED_VALUE"""),"Nhà Khách Sa Pa, Đường Ngũ Chỉ Sơn, Thị trấn Sa Pa")</f>
        <v>Nhà Khách Sa Pa, Đường Ngũ Chỉ Sơn, Thị trấn Sa Pa</v>
      </c>
      <c r="G241" s="46" t="str">
        <f>IFERROR(__xludf.DUMMYFUNCTION("""COMPUTED_VALUE"""),"Tiền loại nhiều, hay kẹt ở khay")</f>
        <v>Tiền loại nhiều, hay kẹt ở khay</v>
      </c>
      <c r="H241" s="46"/>
      <c r="I241" s="46"/>
      <c r="J241" s="46" t="str">
        <f>IFERROR(__xludf.DUMMYFUNCTION("""COMPUTED_VALUE"""),"Vệ sinh, làm bảo trì cho máy.")</f>
        <v>Vệ sinh, làm bảo trì cho máy.</v>
      </c>
      <c r="K241" s="46"/>
      <c r="L241" s="46"/>
      <c r="M241" s="46"/>
      <c r="N241" s="46"/>
      <c r="O241" s="46"/>
      <c r="P241" s="46"/>
      <c r="Q241" s="46" t="str">
        <f>IFERROR(__xludf.DUMMYFUNCTION("""COMPUTED_VALUE"""),"Hoàn thành")</f>
        <v>Hoàn thành</v>
      </c>
      <c r="R241" s="46"/>
      <c r="S241" s="46"/>
      <c r="T241" s="46"/>
      <c r="U241" s="46"/>
      <c r="V241" s="46"/>
      <c r="W241" s="46"/>
      <c r="X241" s="46"/>
      <c r="Y241" s="46"/>
      <c r="Z241" s="46"/>
      <c r="AA241" s="46"/>
    </row>
    <row r="242">
      <c r="A242" s="55">
        <f>IFERROR(__xludf.DUMMYFUNCTION("""COMPUTED_VALUE"""),44304.873448240745)</f>
        <v>44304.87345</v>
      </c>
      <c r="B242" s="56">
        <f>IFERROR(__xludf.DUMMYFUNCTION("""COMPUTED_VALUE"""),44533.0)</f>
        <v>44533</v>
      </c>
      <c r="C242" s="59" t="str">
        <f t="shared" si="3"/>
        <v/>
      </c>
      <c r="D242" s="46" t="str">
        <f>IFERROR(__xludf.DUMMYFUNCTION("""COMPUTED_VALUE"""),"HaNH")</f>
        <v>HaNH</v>
      </c>
      <c r="E242" s="57" t="str">
        <f>IFERROR(__xludf.DUMMYFUNCTION("""COMPUTED_VALUE"""),"5300381749")</f>
        <v>5300381749</v>
      </c>
      <c r="F242" s="46" t="str">
        <f>IFERROR(__xludf.DUMMYFUNCTION("""COMPUTED_VALUE"""),"Thị trấn Phong Thổ, Lai Châu")</f>
        <v>Thị trấn Phong Thổ, Lai Châu</v>
      </c>
      <c r="G242" s="46" t="str">
        <f>IFERROR(__xludf.DUMMYFUNCTION("""COMPUTED_VALUE"""),"Tiền loại nhiều")</f>
        <v>Tiền loại nhiều</v>
      </c>
      <c r="H242" s="46"/>
      <c r="I242" s="46"/>
      <c r="J242" s="46" t="str">
        <f>IFERROR(__xludf.DUMMYFUNCTION("""COMPUTED_VALUE"""),"Làm bảo trì cho máy, chuyển gap B-C tầng 200k")</f>
        <v>Làm bảo trì cho máy, chuyển gap B-C tầng 200k</v>
      </c>
      <c r="K242" s="46"/>
      <c r="L242" s="46"/>
      <c r="M242" s="46"/>
      <c r="N242" s="46"/>
      <c r="O242" s="46"/>
      <c r="P242" s="46"/>
      <c r="Q242" s="46" t="str">
        <f>IFERROR(__xludf.DUMMYFUNCTION("""COMPUTED_VALUE"""),"Hoàn thành")</f>
        <v>Hoàn thành</v>
      </c>
      <c r="R242" s="46"/>
      <c r="S242" s="46"/>
      <c r="T242" s="46"/>
      <c r="U242" s="46"/>
      <c r="V242" s="46"/>
      <c r="W242" s="46"/>
      <c r="X242" s="46"/>
      <c r="Y242" s="46"/>
      <c r="Z242" s="46"/>
      <c r="AA242" s="46"/>
    </row>
    <row r="243">
      <c r="A243" s="55">
        <f>IFERROR(__xludf.DUMMYFUNCTION("""COMPUTED_VALUE"""),44304.87451116898)</f>
        <v>44304.87451</v>
      </c>
      <c r="B243" s="56">
        <f>IFERROR(__xludf.DUMMYFUNCTION("""COMPUTED_VALUE"""),44533.0)</f>
        <v>44533</v>
      </c>
      <c r="C243" s="59" t="str">
        <f t="shared" si="3"/>
        <v/>
      </c>
      <c r="D243" s="46" t="str">
        <f>IFERROR(__xludf.DUMMYFUNCTION("""COMPUTED_VALUE"""),"HaNH")</f>
        <v>HaNH</v>
      </c>
      <c r="E243" s="57" t="str">
        <f>IFERROR(__xludf.DUMMYFUNCTION("""COMPUTED_VALUE"""),"5300380019")</f>
        <v>5300380019</v>
      </c>
      <c r="F243" s="46" t="str">
        <f>IFERROR(__xludf.DUMMYFUNCTION("""COMPUTED_VALUE"""),"Thị trấn Than Uyên, Lai Châu")</f>
        <v>Thị trấn Than Uyên, Lai Châu</v>
      </c>
      <c r="G243" s="46" t="str">
        <f>IFERROR(__xludf.DUMMYFUNCTION("""COMPUTED_VALUE"""),"Rác nhiều")</f>
        <v>Rác nhiều</v>
      </c>
      <c r="H243" s="46"/>
      <c r="I243" s="46"/>
      <c r="J243" s="46" t="str">
        <f>IFERROR(__xludf.DUMMYFUNCTION("""COMPUTED_VALUE"""),"Vệ sinh lại bộ phận trả tiền")</f>
        <v>Vệ sinh lại bộ phận trả tiền</v>
      </c>
      <c r="K243" s="46"/>
      <c r="L243" s="46"/>
      <c r="M243" s="46"/>
      <c r="N243" s="46"/>
      <c r="O243" s="46"/>
      <c r="P243" s="46"/>
      <c r="Q243" s="46" t="str">
        <f>IFERROR(__xludf.DUMMYFUNCTION("""COMPUTED_VALUE"""),"Hoàn thành")</f>
        <v>Hoàn thành</v>
      </c>
      <c r="R243" s="46"/>
      <c r="S243" s="46"/>
      <c r="T243" s="46"/>
      <c r="U243" s="46"/>
      <c r="V243" s="46"/>
      <c r="W243" s="46"/>
      <c r="X243" s="46"/>
      <c r="Y243" s="46"/>
      <c r="Z243" s="46"/>
      <c r="AA243" s="46"/>
    </row>
    <row r="244">
      <c r="A244" s="55">
        <f>IFERROR(__xludf.DUMMYFUNCTION("""COMPUTED_VALUE"""),44304.87499489583)</f>
        <v>44304.87499</v>
      </c>
      <c r="B244" s="56">
        <f>IFERROR(__xludf.DUMMYFUNCTION("""COMPUTED_VALUE"""),44533.0)</f>
        <v>44533</v>
      </c>
      <c r="C244" s="59" t="str">
        <f t="shared" si="3"/>
        <v/>
      </c>
      <c r="D244" s="46" t="str">
        <f>IFERROR(__xludf.DUMMYFUNCTION("""COMPUTED_VALUE"""),"HaNH")</f>
        <v>HaNH</v>
      </c>
      <c r="E244" s="57" t="str">
        <f>IFERROR(__xludf.DUMMYFUNCTION("""COMPUTED_VALUE"""),"5300381470")</f>
        <v>5300381470</v>
      </c>
      <c r="F244" s="46" t="str">
        <f>IFERROR(__xludf.DUMMYFUNCTION("""COMPUTED_VALUE"""),"Tổ 25, P. Tân An, Đường Điện Biên, TX. Nghĩa Lộ")</f>
        <v>Tổ 25, P. Tân An, Đường Điện Biên, TX. Nghĩa Lộ</v>
      </c>
      <c r="G244" s="46" t="str">
        <f>IFERROR(__xludf.DUMMYFUNCTION("""COMPUTED_VALUE"""),"Rác nhiều")</f>
        <v>Rác nhiều</v>
      </c>
      <c r="H244" s="46"/>
      <c r="I244" s="46"/>
      <c r="J244" s="46" t="str">
        <f>IFERROR(__xludf.DUMMYFUNCTION("""COMPUTED_VALUE"""),"Vệ sinh lại bộ phận trả tiền")</f>
        <v>Vệ sinh lại bộ phận trả tiền</v>
      </c>
      <c r="K244" s="46"/>
      <c r="L244" s="46"/>
      <c r="M244" s="46"/>
      <c r="N244" s="46"/>
      <c r="O244" s="46"/>
      <c r="P244" s="46"/>
      <c r="Q244" s="46" t="str">
        <f>IFERROR(__xludf.DUMMYFUNCTION("""COMPUTED_VALUE"""),"Hoàn thành")</f>
        <v>Hoàn thành</v>
      </c>
      <c r="R244" s="46"/>
      <c r="S244" s="46"/>
      <c r="T244" s="46"/>
      <c r="U244" s="46"/>
      <c r="V244" s="46"/>
      <c r="W244" s="46"/>
      <c r="X244" s="46"/>
      <c r="Y244" s="46"/>
      <c r="Z244" s="46"/>
      <c r="AA244" s="46"/>
    </row>
    <row r="245">
      <c r="A245" s="55">
        <f>IFERROR(__xludf.DUMMYFUNCTION("""COMPUTED_VALUE"""),44304.87611711805)</f>
        <v>44304.87612</v>
      </c>
      <c r="B245" s="56">
        <f>IFERROR(__xludf.DUMMYFUNCTION("""COMPUTED_VALUE"""),44533.0)</f>
        <v>44533</v>
      </c>
      <c r="C245" s="59" t="str">
        <f t="shared" si="3"/>
        <v/>
      </c>
      <c r="D245" s="46" t="str">
        <f>IFERROR(__xludf.DUMMYFUNCTION("""COMPUTED_VALUE"""),"HaNH")</f>
        <v>HaNH</v>
      </c>
      <c r="E245" s="57" t="str">
        <f>IFERROR(__xludf.DUMMYFUNCTION("""COMPUTED_VALUE"""),"56HG805398")</f>
        <v>56HG805398</v>
      </c>
      <c r="F245" s="46" t="str">
        <f>IFERROR(__xludf.DUMMYFUNCTION("""COMPUTED_VALUE"""),"Lữ đoàn 239 Thanh Trì, thôn Xâm Xuyên, Thường Tín, Hà Nội")</f>
        <v>Lữ đoàn 239 Thanh Trì, thôn Xâm Xuyên, Thường Tín, Hà Nội</v>
      </c>
      <c r="G245" s="46" t="str">
        <f>IFERROR(__xludf.DUMMYFUNCTION("""COMPUTED_VALUE"""),"Tiền loại nhiều, hay kẹt tiền")</f>
        <v>Tiền loại nhiều, hay kẹt tiền</v>
      </c>
      <c r="H245" s="46"/>
      <c r="I245" s="46"/>
      <c r="J245" s="46" t="str">
        <f>IFERROR(__xludf.DUMMYFUNCTION("""COMPUTED_VALUE"""),"Vệ sinh lại bộ phận trả tiền, thay thế trục Gap tầng 50")</f>
        <v>Vệ sinh lại bộ phận trả tiền, thay thế trục Gap tầng 50</v>
      </c>
      <c r="K245" s="46"/>
      <c r="L245" s="46"/>
      <c r="M245" s="46"/>
      <c r="N245" s="46"/>
      <c r="O245" s="46"/>
      <c r="P245" s="46"/>
      <c r="Q245" s="46" t="str">
        <f>IFERROR(__xludf.DUMMYFUNCTION("""COMPUTED_VALUE"""),"Hoàn thành")</f>
        <v>Hoàn thành</v>
      </c>
      <c r="R245" s="46"/>
      <c r="S245" s="46"/>
      <c r="T245" s="46"/>
      <c r="U245" s="46"/>
      <c r="V245" s="46"/>
      <c r="W245" s="46"/>
      <c r="X245" s="46"/>
      <c r="Y245" s="46"/>
      <c r="Z245" s="46"/>
      <c r="AA245" s="46"/>
    </row>
    <row r="246">
      <c r="A246" s="55">
        <f>IFERROR(__xludf.DUMMYFUNCTION("""COMPUTED_VALUE"""),44304.87660828704)</f>
        <v>44304.87661</v>
      </c>
      <c r="B246" s="56">
        <f>IFERROR(__xludf.DUMMYFUNCTION("""COMPUTED_VALUE"""),44533.0)</f>
        <v>44533</v>
      </c>
      <c r="C246" s="59" t="str">
        <f t="shared" si="3"/>
        <v/>
      </c>
      <c r="D246" s="46" t="str">
        <f>IFERROR(__xludf.DUMMYFUNCTION("""COMPUTED_VALUE"""),"HaNH")</f>
        <v>HaNH</v>
      </c>
      <c r="E246" s="57" t="str">
        <f>IFERROR(__xludf.DUMMYFUNCTION("""COMPUTED_VALUE"""),"5300380305")</f>
        <v>5300380305</v>
      </c>
      <c r="F246" s="46" t="str">
        <f>IFERROR(__xludf.DUMMYFUNCTION("""COMPUTED_VALUE"""),"115 phố Quán Gánh, Thường Tín, Hà Nội")</f>
        <v>115 phố Quán Gánh, Thường Tín, Hà Nội</v>
      </c>
      <c r="G246" s="46" t="str">
        <f>IFERROR(__xludf.DUMMYFUNCTION("""COMPUTED_VALUE"""),"Tiền loại nhiều")</f>
        <v>Tiền loại nhiều</v>
      </c>
      <c r="H246" s="46"/>
      <c r="I246" s="46"/>
      <c r="J246" s="46" t="str">
        <f>IFERROR(__xludf.DUMMYFUNCTION("""COMPUTED_VALUE"""),"Clear CMos, Học lại tiền, vệ sinh lại bộ phận trả tiền")</f>
        <v>Clear CMos, Học lại tiền, vệ sinh lại bộ phận trả tiền</v>
      </c>
      <c r="K246" s="46"/>
      <c r="L246" s="46"/>
      <c r="M246" s="46"/>
      <c r="N246" s="46"/>
      <c r="O246" s="46"/>
      <c r="P246" s="46"/>
      <c r="Q246" s="46" t="str">
        <f>IFERROR(__xludf.DUMMYFUNCTION("""COMPUTED_VALUE"""),"Hoàn thành")</f>
        <v>Hoàn thành</v>
      </c>
      <c r="R246" s="46"/>
      <c r="S246" s="46"/>
      <c r="T246" s="46"/>
      <c r="U246" s="46"/>
      <c r="V246" s="46"/>
      <c r="W246" s="46"/>
      <c r="X246" s="46"/>
      <c r="Y246" s="46"/>
      <c r="Z246" s="46"/>
      <c r="AA246" s="46"/>
    </row>
    <row r="247">
      <c r="A247" s="55">
        <f>IFERROR(__xludf.DUMMYFUNCTION("""COMPUTED_VALUE"""),44304.87751747685)</f>
        <v>44304.87752</v>
      </c>
      <c r="B247" s="56">
        <f>IFERROR(__xludf.DUMMYFUNCTION("""COMPUTED_VALUE"""),44533.0)</f>
        <v>44533</v>
      </c>
      <c r="C247" s="59" t="str">
        <f t="shared" si="3"/>
        <v/>
      </c>
      <c r="D247" s="46" t="str">
        <f>IFERROR(__xludf.DUMMYFUNCTION("""COMPUTED_VALUE"""),"HaNH")</f>
        <v>HaNH</v>
      </c>
      <c r="E247" s="57" t="str">
        <f>IFERROR(__xludf.DUMMYFUNCTION("""COMPUTED_VALUE"""),"5310105354")</f>
        <v>5310105354</v>
      </c>
      <c r="F247" s="46" t="str">
        <f>IFERROR(__xludf.DUMMYFUNCTION("""COMPUTED_VALUE"""),"Khu 4, thị trấn Yên Định, huyện Hải Hậu, Nam Định")</f>
        <v>Khu 4, thị trấn Yên Định, huyện Hải Hậu, Nam Định</v>
      </c>
      <c r="G247" s="46" t="str">
        <f>IFERROR(__xludf.DUMMYFUNCTION("""COMPUTED_VALUE"""),"Lỗi BPTT")</f>
        <v>Lỗi BPTT</v>
      </c>
      <c r="H247" s="46"/>
      <c r="I247" s="46"/>
      <c r="J247" s="46" t="str">
        <f>IFERROR(__xludf.DUMMYFUNCTION("""COMPUTED_VALUE"""),"Bảo trì cho máy, máy in biên lai đang vỡ bánh răng, cần thay thế")</f>
        <v>Bảo trì cho máy, máy in biên lai đang vỡ bánh răng, cần thay thế</v>
      </c>
      <c r="K247" s="46"/>
      <c r="L247" s="46"/>
      <c r="M247" s="46"/>
      <c r="N247" s="46"/>
      <c r="O247" s="46"/>
      <c r="P247" s="46"/>
      <c r="Q247" s="46" t="str">
        <f>IFERROR(__xludf.DUMMYFUNCTION("""COMPUTED_VALUE"""),"Hoàn thành")</f>
        <v>Hoàn thành</v>
      </c>
      <c r="R247" s="46"/>
      <c r="S247" s="46"/>
      <c r="T247" s="46"/>
      <c r="U247" s="46"/>
      <c r="V247" s="46"/>
      <c r="W247" s="46"/>
      <c r="X247" s="46"/>
      <c r="Y247" s="46"/>
      <c r="Z247" s="46"/>
      <c r="AA247" s="46"/>
    </row>
    <row r="248">
      <c r="A248" s="55">
        <f>IFERROR(__xludf.DUMMYFUNCTION("""COMPUTED_VALUE"""),44304.87873540509)</f>
        <v>44304.87874</v>
      </c>
      <c r="B248" s="56">
        <f>IFERROR(__xludf.DUMMYFUNCTION("""COMPUTED_VALUE"""),44533.0)</f>
        <v>44533</v>
      </c>
      <c r="C248" s="59" t="str">
        <f t="shared" si="3"/>
        <v/>
      </c>
      <c r="D248" s="46" t="str">
        <f>IFERROR(__xludf.DUMMYFUNCTION("""COMPUTED_VALUE"""),"HaNH")</f>
        <v>HaNH</v>
      </c>
      <c r="E248" s="57" t="str">
        <f>IFERROR(__xludf.DUMMYFUNCTION("""COMPUTED_VALUE"""),"5300381493")</f>
        <v>5300381493</v>
      </c>
      <c r="F248" s="46" t="str">
        <f>IFERROR(__xludf.DUMMYFUNCTION("""COMPUTED_VALUE"""),"Thị trấn Cổ Lễ, huyện Trực Ninh, Nam Định")</f>
        <v>Thị trấn Cổ Lễ, huyện Trực Ninh, Nam Định</v>
      </c>
      <c r="G248" s="46" t="str">
        <f>IFERROR(__xludf.DUMMYFUNCTION("""COMPUTED_VALUE"""),"Lỗi BPTT")</f>
        <v>Lỗi BPTT</v>
      </c>
      <c r="H248" s="46"/>
      <c r="I248" s="46"/>
      <c r="J248" s="46" t="str">
        <f>IFERROR(__xludf.DUMMYFUNCTION("""COMPUTED_VALUE"""),"Vệ sinh, chuyển gap B-C tầng 50")</f>
        <v>Vệ sinh, chuyển gap B-C tầng 50</v>
      </c>
      <c r="K248" s="46"/>
      <c r="L248" s="46"/>
      <c r="M248" s="46"/>
      <c r="N248" s="46"/>
      <c r="O248" s="46"/>
      <c r="P248" s="46"/>
      <c r="Q248" s="46" t="str">
        <f>IFERROR(__xludf.DUMMYFUNCTION("""COMPUTED_VALUE"""),"Hoàn thành")</f>
        <v>Hoàn thành</v>
      </c>
      <c r="R248" s="46"/>
      <c r="S248" s="46"/>
      <c r="T248" s="46"/>
      <c r="U248" s="46"/>
      <c r="V248" s="46"/>
      <c r="W248" s="46"/>
      <c r="X248" s="46"/>
      <c r="Y248" s="46"/>
      <c r="Z248" s="46"/>
      <c r="AA248" s="46"/>
    </row>
    <row r="249">
      <c r="A249" s="55">
        <f>IFERROR(__xludf.DUMMYFUNCTION("""COMPUTED_VALUE"""),44304.8792650463)</f>
        <v>44304.87927</v>
      </c>
      <c r="B249" s="56">
        <f>IFERROR(__xludf.DUMMYFUNCTION("""COMPUTED_VALUE"""),44533.0)</f>
        <v>44533</v>
      </c>
      <c r="C249" s="59" t="str">
        <f t="shared" si="3"/>
        <v/>
      </c>
      <c r="D249" s="46" t="str">
        <f>IFERROR(__xludf.DUMMYFUNCTION("""COMPUTED_VALUE"""),"HaNH")</f>
        <v>HaNH</v>
      </c>
      <c r="E249" s="57" t="str">
        <f>IFERROR(__xludf.DUMMYFUNCTION("""COMPUTED_VALUE"""),"5310107199")</f>
        <v>5310107199</v>
      </c>
      <c r="F249" s="46" t="str">
        <f>IFERROR(__xludf.DUMMYFUNCTION("""COMPUTED_VALUE"""),"Đường 21, thị trấn Cổ Lễ, huyện Trực Ninh, Nam Định")</f>
        <v>Đường 21, thị trấn Cổ Lễ, huyện Trực Ninh, Nam Định</v>
      </c>
      <c r="G249" s="46" t="str">
        <f>IFERROR(__xludf.DUMMYFUNCTION("""COMPUTED_VALUE"""),"Bảo trì")</f>
        <v>Bảo trì</v>
      </c>
      <c r="H249" s="46"/>
      <c r="I249" s="46"/>
      <c r="J249" s="46" t="str">
        <f>IFERROR(__xludf.DUMMYFUNCTION("""COMPUTED_VALUE"""),"Bảo trì 4 máy bên số 2 láng hạ")</f>
        <v>Bảo trì 4 máy bên số 2 láng hạ</v>
      </c>
      <c r="K249" s="46"/>
      <c r="L249" s="46"/>
      <c r="M249" s="46"/>
      <c r="N249" s="46"/>
      <c r="O249" s="46"/>
      <c r="P249" s="46"/>
      <c r="Q249" s="46" t="str">
        <f>IFERROR(__xludf.DUMMYFUNCTION("""COMPUTED_VALUE"""),"Hoàn thành")</f>
        <v>Hoàn thành</v>
      </c>
      <c r="R249" s="46"/>
      <c r="S249" s="46"/>
      <c r="T249" s="46"/>
      <c r="U249" s="46"/>
      <c r="V249" s="46"/>
      <c r="W249" s="46"/>
      <c r="X249" s="46"/>
      <c r="Y249" s="46"/>
      <c r="Z249" s="46"/>
      <c r="AA249" s="46"/>
    </row>
    <row r="250">
      <c r="A250" s="55">
        <f>IFERROR(__xludf.DUMMYFUNCTION("""COMPUTED_VALUE"""),44304.8801334375)</f>
        <v>44304.88013</v>
      </c>
      <c r="B250" s="56">
        <f>IFERROR(__xludf.DUMMYFUNCTION("""COMPUTED_VALUE"""),44264.0)</f>
        <v>44264</v>
      </c>
      <c r="C250" s="59" t="str">
        <f t="shared" si="3"/>
        <v>Báo cáo muộn</v>
      </c>
      <c r="D250" s="46" t="str">
        <f>IFERROR(__xludf.DUMMYFUNCTION("""COMPUTED_VALUE"""),"thuongd")</f>
        <v>thuongd</v>
      </c>
      <c r="E250" s="57" t="str">
        <f>IFERROR(__xludf.DUMMYFUNCTION("""COMPUTED_VALUE"""),"5300377933")</f>
        <v>5300377933</v>
      </c>
      <c r="F250" s="46" t="str">
        <f>IFERROR(__xludf.DUMMYFUNCTION("""COMPUTED_VALUE"""),"Số 75 Phương Mai, Hà Nội")</f>
        <v>Số 75 Phương Mai, Hà Nội</v>
      </c>
      <c r="G250" s="46" t="str">
        <f>IFERROR(__xludf.DUMMYFUNCTION("""COMPUTED_VALUE"""),"treo máy")</f>
        <v>treo máy</v>
      </c>
      <c r="H250" s="46"/>
      <c r="I250" s="46"/>
      <c r="J250" s="46" t="str">
        <f>IFERROR(__xludf.DUMMYFUNCTION("""COMPUTED_VALUE"""),"Ghost lại hđh")</f>
        <v>Ghost lại hđh</v>
      </c>
      <c r="K250" s="46"/>
      <c r="L250" s="46"/>
      <c r="M250" s="46"/>
      <c r="N250" s="46"/>
      <c r="O250" s="46"/>
      <c r="P250" s="46"/>
      <c r="Q250" s="46" t="str">
        <f>IFERROR(__xludf.DUMMYFUNCTION("""COMPUTED_VALUE"""),"Hoàn thành")</f>
        <v>Hoàn thành</v>
      </c>
      <c r="R250" s="46"/>
      <c r="S250" s="46"/>
      <c r="T250" s="46"/>
      <c r="U250" s="46"/>
      <c r="V250" s="46"/>
      <c r="W250" s="46"/>
      <c r="X250" s="46"/>
      <c r="Y250" s="46"/>
      <c r="Z250" s="46"/>
      <c r="AA250" s="46"/>
    </row>
    <row r="251">
      <c r="A251" s="55">
        <f>IFERROR(__xludf.DUMMYFUNCTION("""COMPUTED_VALUE"""),44304.88015953704)</f>
        <v>44304.88016</v>
      </c>
      <c r="B251" s="56">
        <f>IFERROR(__xludf.DUMMYFUNCTION("""COMPUTED_VALUE"""),44533.0)</f>
        <v>44533</v>
      </c>
      <c r="C251" s="59" t="str">
        <f t="shared" si="3"/>
        <v/>
      </c>
      <c r="D251" s="46" t="str">
        <f>IFERROR(__xludf.DUMMYFUNCTION("""COMPUTED_VALUE"""),"HaNH")</f>
        <v>HaNH</v>
      </c>
      <c r="E251" s="57" t="str">
        <f>IFERROR(__xludf.DUMMYFUNCTION("""COMPUTED_VALUE"""),"5300380600")</f>
        <v>5300380600</v>
      </c>
      <c r="F251" s="46" t="str">
        <f>IFERROR(__xludf.DUMMYFUNCTION("""COMPUTED_VALUE"""),"Thị trấn Nam Sách - H. Nam Sách - T. Hải Dương")</f>
        <v>Thị trấn Nam Sách - H. Nam Sách - T. Hải Dương</v>
      </c>
      <c r="G251" s="46" t="str">
        <f>IFERROR(__xludf.DUMMYFUNCTION("""COMPUTED_VALUE"""),"Bao tri")</f>
        <v>Bao tri</v>
      </c>
      <c r="H251" s="46"/>
      <c r="I251" s="46"/>
      <c r="J251" s="46" t="str">
        <f>IFERROR(__xludf.DUMMYFUNCTION("""COMPUTED_VALUE"""),"Bao trì máy, dây cuaroa, trục đỡ, trục gap đều kém cần thay thế")</f>
        <v>Bao trì máy, dây cuaroa, trục đỡ, trục gap đều kém cần thay thế</v>
      </c>
      <c r="K251" s="46"/>
      <c r="L251" s="46"/>
      <c r="M251" s="46"/>
      <c r="N251" s="46"/>
      <c r="O251" s="46"/>
      <c r="P251" s="46"/>
      <c r="Q251" s="46" t="str">
        <f>IFERROR(__xludf.DUMMYFUNCTION("""COMPUTED_VALUE"""),"Hoàn thành")</f>
        <v>Hoàn thành</v>
      </c>
      <c r="R251" s="46"/>
      <c r="S251" s="46"/>
      <c r="T251" s="46"/>
      <c r="U251" s="46"/>
      <c r="V251" s="46"/>
      <c r="W251" s="46"/>
      <c r="X251" s="46"/>
      <c r="Y251" s="46"/>
      <c r="Z251" s="46"/>
      <c r="AA251" s="46"/>
    </row>
    <row r="252">
      <c r="A252" s="55">
        <f>IFERROR(__xludf.DUMMYFUNCTION("""COMPUTED_VALUE"""),44304.88071574074)</f>
        <v>44304.88072</v>
      </c>
      <c r="B252" s="56">
        <f>IFERROR(__xludf.DUMMYFUNCTION("""COMPUTED_VALUE"""),44533.0)</f>
        <v>44533</v>
      </c>
      <c r="C252" s="59" t="str">
        <f t="shared" si="3"/>
        <v/>
      </c>
      <c r="D252" s="46" t="str">
        <f>IFERROR(__xludf.DUMMYFUNCTION("""COMPUTED_VALUE"""),"HaNH")</f>
        <v>HaNH</v>
      </c>
      <c r="E252" s="57" t="str">
        <f>IFERROR(__xludf.DUMMYFUNCTION("""COMPUTED_VALUE"""),"5300380310")</f>
        <v>5300380310</v>
      </c>
      <c r="F252" s="46" t="str">
        <f>IFERROR(__xludf.DUMMYFUNCTION("""COMPUTED_VALUE"""),"NHNo H.Tuần Giáo-Thị trấn Tuần Giáo, H.Tuần Giáo, Điện Biên")</f>
        <v>NHNo H.Tuần Giáo-Thị trấn Tuần Giáo, H.Tuần Giáo, Điện Biên</v>
      </c>
      <c r="G252" s="46" t="str">
        <f>IFERROR(__xludf.DUMMYFUNCTION("""COMPUTED_VALUE"""),"Bao tri")</f>
        <v>Bao tri</v>
      </c>
      <c r="H252" s="46"/>
      <c r="I252" s="46" t="str">
        <f>IFERROR(__xludf.DUMMYFUNCTION("""COMPUTED_VALUE"""),"Bảo trì")</f>
        <v>Bảo trì</v>
      </c>
      <c r="J252" s="46"/>
      <c r="K252" s="46"/>
      <c r="L252" s="46"/>
      <c r="M252" s="46"/>
      <c r="N252" s="46"/>
      <c r="O252" s="46"/>
      <c r="P252" s="46"/>
      <c r="Q252" s="46" t="str">
        <f>IFERROR(__xludf.DUMMYFUNCTION("""COMPUTED_VALUE"""),"Hoàn thành")</f>
        <v>Hoàn thành</v>
      </c>
      <c r="R252" s="46"/>
      <c r="S252" s="46"/>
      <c r="T252" s="46"/>
      <c r="U252" s="46"/>
      <c r="V252" s="46"/>
      <c r="W252" s="46"/>
      <c r="X252" s="46"/>
      <c r="Y252" s="46"/>
      <c r="Z252" s="46"/>
      <c r="AA252" s="46"/>
    </row>
    <row r="253">
      <c r="A253" s="55">
        <f>IFERROR(__xludf.DUMMYFUNCTION("""COMPUTED_VALUE"""),44304.881036990744)</f>
        <v>44304.88104</v>
      </c>
      <c r="B253" s="56">
        <f>IFERROR(__xludf.DUMMYFUNCTION("""COMPUTED_VALUE"""),44266.0)</f>
        <v>44266</v>
      </c>
      <c r="C253" s="59" t="str">
        <f t="shared" si="3"/>
        <v>Báo cáo muộn</v>
      </c>
      <c r="D253" s="46" t="str">
        <f>IFERROR(__xludf.DUMMYFUNCTION("""COMPUTED_VALUE"""),"thuongd")</f>
        <v>thuongd</v>
      </c>
      <c r="E253" s="57" t="str">
        <f>IFERROR(__xludf.DUMMYFUNCTION("""COMPUTED_VALUE"""),"5310182817")</f>
        <v>5310182817</v>
      </c>
      <c r="F253" s="46" t="str">
        <f>IFERROR(__xludf.DUMMYFUNCTION("""COMPUTED_VALUE"""),"Số 01, đường Phan Đình Phùng, TP Hà Tĩnh")</f>
        <v>Số 01, đường Phan Đình Phùng, TP Hà Tĩnh</v>
      </c>
      <c r="G253" s="46" t="str">
        <f>IFERROR(__xludf.DUMMYFUNCTION("""COMPUTED_VALUE"""),"ko rút dc 500k")</f>
        <v>ko rút dc 500k</v>
      </c>
      <c r="H253" s="46"/>
      <c r="I253" s="46"/>
      <c r="J253" s="46" t="str">
        <f>IFERROR(__xludf.DUMMYFUNCTION("""COMPUTED_VALUE"""),"vệ sinh atm")</f>
        <v>vệ sinh atm</v>
      </c>
      <c r="K253" s="46"/>
      <c r="L253" s="46"/>
      <c r="M253" s="46"/>
      <c r="N253" s="46"/>
      <c r="O253" s="46"/>
      <c r="P253" s="46"/>
      <c r="Q253" s="46" t="str">
        <f>IFERROR(__xludf.DUMMYFUNCTION("""COMPUTED_VALUE"""),"Hoàn thành")</f>
        <v>Hoàn thành</v>
      </c>
      <c r="R253" s="46"/>
      <c r="S253" s="46"/>
      <c r="T253" s="46"/>
      <c r="U253" s="46"/>
      <c r="V253" s="46"/>
      <c r="W253" s="46"/>
      <c r="X253" s="46"/>
      <c r="Y253" s="46"/>
      <c r="Z253" s="46"/>
      <c r="AA253" s="46"/>
    </row>
    <row r="254">
      <c r="A254" s="55">
        <f>IFERROR(__xludf.DUMMYFUNCTION("""COMPUTED_VALUE"""),44304.881366898146)</f>
        <v>44304.88137</v>
      </c>
      <c r="B254" s="56">
        <f>IFERROR(__xludf.DUMMYFUNCTION("""COMPUTED_VALUE"""),44277.0)</f>
        <v>44277</v>
      </c>
      <c r="C254" s="59" t="str">
        <f t="shared" si="3"/>
        <v>Báo cáo muộn</v>
      </c>
      <c r="D254" s="46" t="str">
        <f>IFERROR(__xludf.DUMMYFUNCTION("""COMPUTED_VALUE"""),"HaNH")</f>
        <v>HaNH</v>
      </c>
      <c r="E254" s="57" t="str">
        <f>IFERROR(__xludf.DUMMYFUNCTION("""COMPUTED_VALUE"""),"5300380763")</f>
        <v>5300380763</v>
      </c>
      <c r="F254" s="46" t="str">
        <f>IFERROR(__xludf.DUMMYFUNCTION("""COMPUTED_VALUE"""),"Phố Phúc Lâm - Thị trấn An Lưu - H. Kinh Môn - T. Hải Dương")</f>
        <v>Phố Phúc Lâm - Thị trấn An Lưu - H. Kinh Môn - T. Hải Dương</v>
      </c>
      <c r="G254" s="46" t="str">
        <f>IFERROR(__xludf.DUMMYFUNCTION("""COMPUTED_VALUE"""),"Lỗi BPTT")</f>
        <v>Lỗi BPTT</v>
      </c>
      <c r="H254" s="46"/>
      <c r="I254" s="46"/>
      <c r="J254" s="46" t="str">
        <f>IFERROR(__xludf.DUMMYFUNCTION("""COMPUTED_VALUE"""),"Thay thế một Pre, 1 ex")</f>
        <v>Thay thế một Pre, 1 ex</v>
      </c>
      <c r="K254" s="46"/>
      <c r="L254" s="46"/>
      <c r="M254" s="46"/>
      <c r="N254" s="46"/>
      <c r="O254" s="46"/>
      <c r="P254" s="46"/>
      <c r="Q254" s="46" t="str">
        <f>IFERROR(__xludf.DUMMYFUNCTION("""COMPUTED_VALUE"""),"Hoàn thành")</f>
        <v>Hoàn thành</v>
      </c>
      <c r="R254" s="46"/>
      <c r="S254" s="46"/>
      <c r="T254" s="46"/>
      <c r="U254" s="46"/>
      <c r="V254" s="46"/>
      <c r="W254" s="46"/>
      <c r="X254" s="46"/>
      <c r="Y254" s="46"/>
      <c r="Z254" s="46"/>
      <c r="AA254" s="46"/>
    </row>
    <row r="255">
      <c r="A255" s="55">
        <f>IFERROR(__xludf.DUMMYFUNCTION("""COMPUTED_VALUE"""),44304.88155799768)</f>
        <v>44304.88156</v>
      </c>
      <c r="B255" s="56">
        <f>IFERROR(__xludf.DUMMYFUNCTION("""COMPUTED_VALUE"""),44267.0)</f>
        <v>44267</v>
      </c>
      <c r="C255" s="59" t="str">
        <f t="shared" si="3"/>
        <v>Báo cáo muộn</v>
      </c>
      <c r="D255" s="46" t="str">
        <f>IFERROR(__xludf.DUMMYFUNCTION("""COMPUTED_VALUE"""),"thuongd")</f>
        <v>thuongd</v>
      </c>
      <c r="E255" s="57" t="str">
        <f>IFERROR(__xludf.DUMMYFUNCTION("""COMPUTED_VALUE"""),"5310183234")</f>
        <v>5310183234</v>
      </c>
      <c r="F255" s="46" t="str">
        <f>IFERROR(__xludf.DUMMYFUNCTION("""COMPUTED_VALUE"""),"Số 04, đường Tả Ao, Thị trấn Nghi Xuân, Hà Tĩnh")</f>
        <v>Số 04, đường Tả Ao, Thị trấn Nghi Xuân, Hà Tĩnh</v>
      </c>
      <c r="G255" s="46" t="str">
        <f>IFERROR(__xludf.DUMMYFUNCTION("""COMPUTED_VALUE"""),"tiền loại nhiều")</f>
        <v>tiền loại nhiều</v>
      </c>
      <c r="H255" s="46"/>
      <c r="I255" s="46"/>
      <c r="J255" s="46" t="str">
        <f>IFERROR(__xludf.DUMMYFUNCTION("""COMPUTED_VALUE"""),"Vệ sinh máy")</f>
        <v>Vệ sinh máy</v>
      </c>
      <c r="K255" s="46"/>
      <c r="L255" s="46"/>
      <c r="M255" s="46"/>
      <c r="N255" s="46"/>
      <c r="O255" s="46"/>
      <c r="P255" s="46"/>
      <c r="Q255" s="46" t="str">
        <f>IFERROR(__xludf.DUMMYFUNCTION("""COMPUTED_VALUE"""),"Hoàn thành")</f>
        <v>Hoàn thành</v>
      </c>
      <c r="R255" s="46"/>
      <c r="S255" s="46"/>
      <c r="T255" s="46"/>
      <c r="U255" s="46"/>
      <c r="V255" s="46"/>
      <c r="W255" s="46"/>
      <c r="X255" s="46"/>
      <c r="Y255" s="46"/>
      <c r="Z255" s="46"/>
      <c r="AA255" s="46"/>
    </row>
    <row r="256">
      <c r="A256" s="55">
        <f>IFERROR(__xludf.DUMMYFUNCTION("""COMPUTED_VALUE"""),44304.882286064814)</f>
        <v>44304.88229</v>
      </c>
      <c r="B256" s="56">
        <f>IFERROR(__xludf.DUMMYFUNCTION("""COMPUTED_VALUE"""),44278.0)</f>
        <v>44278</v>
      </c>
      <c r="C256" s="59" t="str">
        <f t="shared" si="3"/>
        <v>Báo cáo muộn</v>
      </c>
      <c r="D256" s="46" t="str">
        <f>IFERROR(__xludf.DUMMYFUNCTION("""COMPUTED_VALUE"""),"HaNH")</f>
        <v>HaNH</v>
      </c>
      <c r="E256" s="57" t="str">
        <f>IFERROR(__xludf.DUMMYFUNCTION("""COMPUTED_VALUE"""),"5310107361")</f>
        <v>5310107361</v>
      </c>
      <c r="F256" s="46" t="str">
        <f>IFERROR(__xludf.DUMMYFUNCTION("""COMPUTED_VALUE"""),"Số 751 đường Cù Chính Lan, phường Phương Lâm, TP. Hòa Bình")</f>
        <v>Số 751 đường Cù Chính Lan, phường Phương Lâm, TP. Hòa Bình</v>
      </c>
      <c r="G256" s="46" t="str">
        <f>IFERROR(__xludf.DUMMYFUNCTION("""COMPUTED_VALUE"""),"Máy thiếu quỹ")</f>
        <v>Máy thiếu quỹ</v>
      </c>
      <c r="H256" s="46"/>
      <c r="I256" s="46"/>
      <c r="J256" s="46" t="str">
        <f>IFERROR(__xludf.DUMMYFUNCTION("""COMPUTED_VALUE"""),"Kiểm tra lại bộ phận trả tiền, lấy log về đọc")</f>
        <v>Kiểm tra lại bộ phận trả tiền, lấy log về đọc</v>
      </c>
      <c r="K256" s="46"/>
      <c r="L256" s="46"/>
      <c r="M256" s="46"/>
      <c r="N256" s="46"/>
      <c r="O256" s="46"/>
      <c r="P256" s="46"/>
      <c r="Q256" s="46" t="str">
        <f>IFERROR(__xludf.DUMMYFUNCTION("""COMPUTED_VALUE"""),"Hoàn thành")</f>
        <v>Hoàn thành</v>
      </c>
      <c r="R256" s="46"/>
      <c r="S256" s="46"/>
      <c r="T256" s="46"/>
      <c r="U256" s="46"/>
      <c r="V256" s="46"/>
      <c r="W256" s="46"/>
      <c r="X256" s="46"/>
      <c r="Y256" s="46"/>
      <c r="Z256" s="46"/>
      <c r="AA256" s="46"/>
    </row>
    <row r="257">
      <c r="A257" s="55">
        <f>IFERROR(__xludf.DUMMYFUNCTION("""COMPUTED_VALUE"""),44304.8827878125)</f>
        <v>44304.88279</v>
      </c>
      <c r="B257" s="56">
        <f>IFERROR(__xludf.DUMMYFUNCTION("""COMPUTED_VALUE"""),44279.0)</f>
        <v>44279</v>
      </c>
      <c r="C257" s="59" t="str">
        <f t="shared" si="3"/>
        <v>Báo cáo muộn</v>
      </c>
      <c r="D257" s="46" t="str">
        <f>IFERROR(__xludf.DUMMYFUNCTION("""COMPUTED_VALUE"""),"HaNH")</f>
        <v>HaNH</v>
      </c>
      <c r="E257" s="57" t="str">
        <f>IFERROR(__xludf.DUMMYFUNCTION("""COMPUTED_VALUE"""),"109 -111 Đ")</f>
        <v>109 -111 Đ</v>
      </c>
      <c r="F257" s="46" t="str">
        <f>IFERROR(__xludf.DUMMYFUNCTION("""COMPUTED_VALUE"""),"")</f>
        <v/>
      </c>
      <c r="G257" s="46" t="str">
        <f>IFERROR(__xludf.DUMMYFUNCTION("""COMPUTED_VALUE"""),"Bao tri")</f>
        <v>Bao tri</v>
      </c>
      <c r="H257" s="46"/>
      <c r="I257" s="46" t="str">
        <f>IFERROR(__xludf.DUMMYFUNCTION("""COMPUTED_VALUE"""),"Bảo trì")</f>
        <v>Bảo trì</v>
      </c>
      <c r="J257" s="46"/>
      <c r="K257" s="46"/>
      <c r="L257" s="46"/>
      <c r="M257" s="46"/>
      <c r="N257" s="46"/>
      <c r="O257" s="46"/>
      <c r="P257" s="46"/>
      <c r="Q257" s="46" t="str">
        <f>IFERROR(__xludf.DUMMYFUNCTION("""COMPUTED_VALUE"""),"Hoàn thành")</f>
        <v>Hoàn thành</v>
      </c>
      <c r="R257" s="46"/>
      <c r="S257" s="46"/>
      <c r="T257" s="46"/>
      <c r="U257" s="46"/>
      <c r="V257" s="46"/>
      <c r="W257" s="46"/>
      <c r="X257" s="46"/>
      <c r="Y257" s="46"/>
      <c r="Z257" s="46"/>
      <c r="AA257" s="46"/>
    </row>
    <row r="258">
      <c r="A258" s="55">
        <f>IFERROR(__xludf.DUMMYFUNCTION("""COMPUTED_VALUE"""),44304.88286835648)</f>
        <v>44304.88287</v>
      </c>
      <c r="B258" s="56">
        <f>IFERROR(__xludf.DUMMYFUNCTION("""COMPUTED_VALUE"""),44267.0)</f>
        <v>44267</v>
      </c>
      <c r="C258" s="59" t="str">
        <f t="shared" si="3"/>
        <v>Báo cáo muộn</v>
      </c>
      <c r="D258" s="46" t="str">
        <f>IFERROR(__xludf.DUMMYFUNCTION("""COMPUTED_VALUE"""),"thuongd")</f>
        <v>thuongd</v>
      </c>
      <c r="E258" s="57" t="str">
        <f>IFERROR(__xludf.DUMMYFUNCTION("""COMPUTED_VALUE"""),"J821006595")</f>
        <v>J821006595</v>
      </c>
      <c r="F258" s="46" t="str">
        <f>IFERROR(__xludf.DUMMYFUNCTION("""COMPUTED_VALUE"""),"Chi nhánh Hà Tĩnh - Số 80 Phan Đình Phùng, TP. Hà Tĩnh")</f>
        <v>Chi nhánh Hà Tĩnh - Số 80 Phan Đình Phùng, TP. Hà Tĩnh</v>
      </c>
      <c r="G258" s="46" t="str">
        <f>IFERROR(__xludf.DUMMYFUNCTION("""COMPUTED_VALUE"""),"HĐH")</f>
        <v>HĐH</v>
      </c>
      <c r="H258" s="46"/>
      <c r="I258" s="46"/>
      <c r="J258" s="46" t="str">
        <f>IFERROR(__xludf.DUMMYFUNCTION("""COMPUTED_VALUE"""),"Ghost lại hđh")</f>
        <v>Ghost lại hđh</v>
      </c>
      <c r="K258" s="46"/>
      <c r="L258" s="46"/>
      <c r="M258" s="46"/>
      <c r="N258" s="46"/>
      <c r="O258" s="46"/>
      <c r="P258" s="46"/>
      <c r="Q258" s="46" t="str">
        <f>IFERROR(__xludf.DUMMYFUNCTION("""COMPUTED_VALUE"""),"Hoàn thành")</f>
        <v>Hoàn thành</v>
      </c>
      <c r="R258" s="46"/>
      <c r="S258" s="46"/>
      <c r="T258" s="46"/>
      <c r="U258" s="46"/>
      <c r="V258" s="46"/>
      <c r="W258" s="46"/>
      <c r="X258" s="46"/>
      <c r="Y258" s="46"/>
      <c r="Z258" s="46"/>
      <c r="AA258" s="46"/>
    </row>
    <row r="259">
      <c r="A259" s="55">
        <f>IFERROR(__xludf.DUMMYFUNCTION("""COMPUTED_VALUE"""),44304.88327854167)</f>
        <v>44304.88328</v>
      </c>
      <c r="B259" s="56">
        <f>IFERROR(__xludf.DUMMYFUNCTION("""COMPUTED_VALUE"""),44279.0)</f>
        <v>44279</v>
      </c>
      <c r="C259" s="59" t="str">
        <f t="shared" si="3"/>
        <v>Báo cáo muộn</v>
      </c>
      <c r="D259" s="46" t="str">
        <f>IFERROR(__xludf.DUMMYFUNCTION("""COMPUTED_VALUE"""),"HaNH")</f>
        <v>HaNH</v>
      </c>
      <c r="E259" s="57" t="str">
        <f>IFERROR(__xludf.DUMMYFUNCTION("""COMPUTED_VALUE"""),"Agribank G")</f>
        <v>Agribank G</v>
      </c>
      <c r="F259" s="46" t="str">
        <f>IFERROR(__xludf.DUMMYFUNCTION("""COMPUTED_VALUE"""),"")</f>
        <v/>
      </c>
      <c r="G259" s="46" t="str">
        <f>IFERROR(__xludf.DUMMYFUNCTION("""COMPUTED_VALUE"""),"Bao tri")</f>
        <v>Bao tri</v>
      </c>
      <c r="H259" s="46"/>
      <c r="I259" s="46" t="str">
        <f>IFERROR(__xludf.DUMMYFUNCTION("""COMPUTED_VALUE"""),"Bảo trì")</f>
        <v>Bảo trì</v>
      </c>
      <c r="J259" s="46"/>
      <c r="K259" s="46"/>
      <c r="L259" s="46"/>
      <c r="M259" s="46"/>
      <c r="N259" s="46"/>
      <c r="O259" s="46"/>
      <c r="P259" s="46"/>
      <c r="Q259" s="46" t="str">
        <f>IFERROR(__xludf.DUMMYFUNCTION("""COMPUTED_VALUE"""),"Hoàn thành")</f>
        <v>Hoàn thành</v>
      </c>
      <c r="R259" s="46"/>
      <c r="S259" s="46"/>
      <c r="T259" s="46"/>
      <c r="U259" s="46"/>
      <c r="V259" s="46"/>
      <c r="W259" s="46"/>
      <c r="X259" s="46"/>
      <c r="Y259" s="46"/>
      <c r="Z259" s="46"/>
      <c r="AA259" s="46"/>
    </row>
    <row r="260">
      <c r="A260" s="55">
        <f>IFERROR(__xludf.DUMMYFUNCTION("""COMPUTED_VALUE"""),44304.883754560185)</f>
        <v>44304.88375</v>
      </c>
      <c r="B260" s="56">
        <f>IFERROR(__xludf.DUMMYFUNCTION("""COMPUTED_VALUE"""),44271.0)</f>
        <v>44271</v>
      </c>
      <c r="C260" s="59" t="str">
        <f t="shared" si="3"/>
        <v>Báo cáo muộn</v>
      </c>
      <c r="D260" s="46" t="str">
        <f>IFERROR(__xludf.DUMMYFUNCTION("""COMPUTED_VALUE"""),"thuongd")</f>
        <v>thuongd</v>
      </c>
      <c r="E260" s="57" t="str">
        <f>IFERROR(__xludf.DUMMYFUNCTION("""COMPUTED_VALUE"""),"5310181235")</f>
        <v>5310181235</v>
      </c>
      <c r="F260" s="46" t="str">
        <f>IFERROR(__xludf.DUMMYFUNCTION("""COMPUTED_VALUE"""),"Số 01, đường Phan Đình Phùng, TP Hà Tĩnh")</f>
        <v>Số 01, đường Phan Đình Phùng, TP Hà Tĩnh</v>
      </c>
      <c r="G260" s="46" t="str">
        <f>IFERROR(__xludf.DUMMYFUNCTION("""COMPUTED_VALUE"""),"tiền loại nhiều")</f>
        <v>tiền loại nhiều</v>
      </c>
      <c r="H260" s="46"/>
      <c r="I260" s="46"/>
      <c r="J260" s="46" t="str">
        <f>IFERROR(__xludf.DUMMYFUNCTION("""COMPUTED_VALUE"""),"Vệ sinh máy")</f>
        <v>Vệ sinh máy</v>
      </c>
      <c r="K260" s="46"/>
      <c r="L260" s="46"/>
      <c r="M260" s="46"/>
      <c r="N260" s="46"/>
      <c r="O260" s="46"/>
      <c r="P260" s="46"/>
      <c r="Q260" s="46" t="str">
        <f>IFERROR(__xludf.DUMMYFUNCTION("""COMPUTED_VALUE"""),"Hoàn thành")</f>
        <v>Hoàn thành</v>
      </c>
      <c r="R260" s="46"/>
      <c r="S260" s="46"/>
      <c r="T260" s="46"/>
      <c r="U260" s="46"/>
      <c r="V260" s="46"/>
      <c r="W260" s="46"/>
      <c r="X260" s="46"/>
      <c r="Y260" s="46"/>
      <c r="Z260" s="46"/>
      <c r="AA260" s="46"/>
    </row>
    <row r="261">
      <c r="A261" s="55">
        <f>IFERROR(__xludf.DUMMYFUNCTION("""COMPUTED_VALUE"""),44304.88408413195)</f>
        <v>44304.88408</v>
      </c>
      <c r="B261" s="56">
        <f>IFERROR(__xludf.DUMMYFUNCTION("""COMPUTED_VALUE"""),44273.0)</f>
        <v>44273</v>
      </c>
      <c r="C261" s="59" t="str">
        <f t="shared" si="3"/>
        <v>Báo cáo muộn</v>
      </c>
      <c r="D261" s="46" t="str">
        <f>IFERROR(__xludf.DUMMYFUNCTION("""COMPUTED_VALUE"""),"thuongd")</f>
        <v>thuongd</v>
      </c>
      <c r="E261" s="57" t="str">
        <f>IFERROR(__xludf.DUMMYFUNCTION("""COMPUTED_VALUE"""),"5310182771")</f>
        <v>5310182771</v>
      </c>
      <c r="F261" s="46" t="str">
        <f>IFERROR(__xludf.DUMMYFUNCTION("""COMPUTED_VALUE"""),"Khối 10 - TT Thanh Chương, Huyện Thanh Chương, tỉnh Nghệ An")</f>
        <v>Khối 10 - TT Thanh Chương, Huyện Thanh Chương, tỉnh Nghệ An</v>
      </c>
      <c r="G261" s="46" t="str">
        <f>IFERROR(__xludf.DUMMYFUNCTION("""COMPUTED_VALUE"""),"tiền loại nhiều")</f>
        <v>tiền loại nhiều</v>
      </c>
      <c r="H261" s="46"/>
      <c r="I261" s="46"/>
      <c r="J261" s="46" t="str">
        <f>IFERROR(__xludf.DUMMYFUNCTION("""COMPUTED_VALUE"""),"Vệ sinh máy")</f>
        <v>Vệ sinh máy</v>
      </c>
      <c r="K261" s="46"/>
      <c r="L261" s="46"/>
      <c r="M261" s="46"/>
      <c r="N261" s="46"/>
      <c r="O261" s="46"/>
      <c r="P261" s="46"/>
      <c r="Q261" s="46" t="str">
        <f>IFERROR(__xludf.DUMMYFUNCTION("""COMPUTED_VALUE"""),"Hoàn thành")</f>
        <v>Hoàn thành</v>
      </c>
      <c r="R261" s="46"/>
      <c r="S261" s="46"/>
      <c r="T261" s="46"/>
      <c r="U261" s="46"/>
      <c r="V261" s="46"/>
      <c r="W261" s="46"/>
      <c r="X261" s="46"/>
      <c r="Y261" s="46"/>
      <c r="Z261" s="46"/>
      <c r="AA261" s="46"/>
    </row>
    <row r="262">
      <c r="A262" s="55">
        <f>IFERROR(__xludf.DUMMYFUNCTION("""COMPUTED_VALUE"""),44304.88450079861)</f>
        <v>44304.8845</v>
      </c>
      <c r="B262" s="56">
        <f>IFERROR(__xludf.DUMMYFUNCTION("""COMPUTED_VALUE"""),44278.0)</f>
        <v>44278</v>
      </c>
      <c r="C262" s="59" t="str">
        <f t="shared" si="3"/>
        <v>Báo cáo muộn</v>
      </c>
      <c r="D262" s="46" t="str">
        <f>IFERROR(__xludf.DUMMYFUNCTION("""COMPUTED_VALUE"""),"thuongd")</f>
        <v>thuongd</v>
      </c>
      <c r="E262" s="57" t="str">
        <f>IFERROR(__xludf.DUMMYFUNCTION("""COMPUTED_VALUE"""),"5300381656")</f>
        <v>5300381656</v>
      </c>
      <c r="F262" s="46" t="str">
        <f>IFERROR(__xludf.DUMMYFUNCTION("""COMPUTED_VALUE"""),"Khối 1 - Thị trấn Hoàng Mai - Quỳnh Lưu - Nghệ An")</f>
        <v>Khối 1 - Thị trấn Hoàng Mai - Quỳnh Lưu - Nghệ An</v>
      </c>
      <c r="G262" s="46" t="str">
        <f>IFERROR(__xludf.DUMMYFUNCTION("""COMPUTED_VALUE"""),"tiền loại nhiều")</f>
        <v>tiền loại nhiều</v>
      </c>
      <c r="H262" s="46"/>
      <c r="I262" s="46"/>
      <c r="J262" s="46" t="str">
        <f>IFERROR(__xludf.DUMMYFUNCTION("""COMPUTED_VALUE"""),"Vệ sinh máy")</f>
        <v>Vệ sinh máy</v>
      </c>
      <c r="K262" s="46"/>
      <c r="L262" s="46"/>
      <c r="M262" s="46"/>
      <c r="N262" s="46"/>
      <c r="O262" s="46"/>
      <c r="P262" s="46"/>
      <c r="Q262" s="46" t="str">
        <f>IFERROR(__xludf.DUMMYFUNCTION("""COMPUTED_VALUE"""),"Hoàn thành")</f>
        <v>Hoàn thành</v>
      </c>
      <c r="R262" s="46"/>
      <c r="S262" s="46"/>
      <c r="T262" s="46"/>
      <c r="U262" s="46"/>
      <c r="V262" s="46"/>
      <c r="W262" s="46"/>
      <c r="X262" s="46"/>
      <c r="Y262" s="46"/>
      <c r="Z262" s="46"/>
      <c r="AA262" s="46"/>
    </row>
    <row r="263">
      <c r="A263" s="55">
        <f>IFERROR(__xludf.DUMMYFUNCTION("""COMPUTED_VALUE"""),44304.88490082176)</f>
        <v>44304.8849</v>
      </c>
      <c r="B263" s="56">
        <f>IFERROR(__xludf.DUMMYFUNCTION("""COMPUTED_VALUE"""),44279.0)</f>
        <v>44279</v>
      </c>
      <c r="C263" s="59" t="str">
        <f t="shared" si="3"/>
        <v>Báo cáo muộn</v>
      </c>
      <c r="D263" s="46" t="str">
        <f>IFERROR(__xludf.DUMMYFUNCTION("""COMPUTED_VALUE"""),"thuongd")</f>
        <v>thuongd</v>
      </c>
      <c r="E263" s="57" t="str">
        <f>IFERROR(__xludf.DUMMYFUNCTION("""COMPUTED_VALUE"""),"5300381741")</f>
        <v>5300381741</v>
      </c>
      <c r="F263" s="46" t="str">
        <f>IFERROR(__xludf.DUMMYFUNCTION("""COMPUTED_VALUE"""),"Thị trấn Còng, huyện Tĩnh Gia, Thanh Hóa")</f>
        <v>Thị trấn Còng, huyện Tĩnh Gia, Thanh Hóa</v>
      </c>
      <c r="G263" s="46" t="str">
        <f>IFERROR(__xludf.DUMMYFUNCTION("""COMPUTED_VALUE"""),"tiền loại nhiều")</f>
        <v>tiền loại nhiều</v>
      </c>
      <c r="H263" s="46"/>
      <c r="I263" s="46"/>
      <c r="J263" s="46" t="str">
        <f>IFERROR(__xludf.DUMMYFUNCTION("""COMPUTED_VALUE"""),"Vệ sinh máy")</f>
        <v>Vệ sinh máy</v>
      </c>
      <c r="K263" s="46"/>
      <c r="L263" s="46"/>
      <c r="M263" s="46"/>
      <c r="N263" s="46"/>
      <c r="O263" s="46"/>
      <c r="P263" s="46"/>
      <c r="Q263" s="46" t="str">
        <f>IFERROR(__xludf.DUMMYFUNCTION("""COMPUTED_VALUE"""),"Hoàn thành")</f>
        <v>Hoàn thành</v>
      </c>
      <c r="R263" s="46"/>
      <c r="S263" s="46"/>
      <c r="T263" s="46"/>
      <c r="U263" s="46"/>
      <c r="V263" s="46"/>
      <c r="W263" s="46"/>
      <c r="X263" s="46"/>
      <c r="Y263" s="46"/>
      <c r="Z263" s="46"/>
      <c r="AA263" s="46"/>
    </row>
    <row r="264">
      <c r="A264" s="55">
        <f>IFERROR(__xludf.DUMMYFUNCTION("""COMPUTED_VALUE"""),44304.88532107639)</f>
        <v>44304.88532</v>
      </c>
      <c r="B264" s="56">
        <f>IFERROR(__xludf.DUMMYFUNCTION("""COMPUTED_VALUE"""),44280.0)</f>
        <v>44280</v>
      </c>
      <c r="C264" s="59" t="str">
        <f t="shared" si="3"/>
        <v>Báo cáo muộn</v>
      </c>
      <c r="D264" s="46" t="str">
        <f>IFERROR(__xludf.DUMMYFUNCTION("""COMPUTED_VALUE"""),"thuongd")</f>
        <v>thuongd</v>
      </c>
      <c r="E264" s="57" t="str">
        <f>IFERROR(__xludf.DUMMYFUNCTION("""COMPUTED_VALUE"""),"56HGL00271")</f>
        <v>56HGL00271</v>
      </c>
      <c r="F264" s="46" t="str">
        <f>IFERROR(__xludf.DUMMYFUNCTION("""COMPUTED_VALUE"""),"96-98 Đào Duy Từ, tiểu khu 5, tt Tĩnh Gia, Thanh Hóa")</f>
        <v>96-98 Đào Duy Từ, tiểu khu 5, tt Tĩnh Gia, Thanh Hóa</v>
      </c>
      <c r="G264" s="46" t="str">
        <f>IFERROR(__xludf.DUMMYFUNCTION("""COMPUTED_VALUE"""),"tiền loại nhiều")</f>
        <v>tiền loại nhiều</v>
      </c>
      <c r="H264" s="46"/>
      <c r="I264" s="46"/>
      <c r="J264" s="46" t="str">
        <f>IFERROR(__xludf.DUMMYFUNCTION("""COMPUTED_VALUE"""),"Vệ sinh máy")</f>
        <v>Vệ sinh máy</v>
      </c>
      <c r="K264" s="46"/>
      <c r="L264" s="46"/>
      <c r="M264" s="46"/>
      <c r="N264" s="46"/>
      <c r="O264" s="46"/>
      <c r="P264" s="46"/>
      <c r="Q264" s="46" t="str">
        <f>IFERROR(__xludf.DUMMYFUNCTION("""COMPUTED_VALUE"""),"Hoàn thành")</f>
        <v>Hoàn thành</v>
      </c>
      <c r="R264" s="46"/>
      <c r="S264" s="46"/>
      <c r="T264" s="46"/>
      <c r="U264" s="46"/>
      <c r="V264" s="46"/>
      <c r="W264" s="46"/>
      <c r="X264" s="46"/>
      <c r="Y264" s="46"/>
      <c r="Z264" s="46"/>
      <c r="AA264" s="46"/>
    </row>
    <row r="265">
      <c r="A265" s="55">
        <f>IFERROR(__xludf.DUMMYFUNCTION("""COMPUTED_VALUE"""),44304.88579059028)</f>
        <v>44304.88579</v>
      </c>
      <c r="B265" s="56">
        <f>IFERROR(__xludf.DUMMYFUNCTION("""COMPUTED_VALUE"""),44280.0)</f>
        <v>44280</v>
      </c>
      <c r="C265" s="59" t="str">
        <f t="shared" si="3"/>
        <v>Báo cáo muộn</v>
      </c>
      <c r="D265" s="46" t="str">
        <f>IFERROR(__xludf.DUMMYFUNCTION("""COMPUTED_VALUE"""),"thuongd")</f>
        <v>thuongd</v>
      </c>
      <c r="E265" s="57" t="str">
        <f>IFERROR(__xludf.DUMMYFUNCTION("""COMPUTED_VALUE"""),"5300381741")</f>
        <v>5300381741</v>
      </c>
      <c r="F265" s="46" t="str">
        <f>IFERROR(__xludf.DUMMYFUNCTION("""COMPUTED_VALUE"""),"Thị trấn Còng, huyện Tĩnh Gia, Thanh Hóa")</f>
        <v>Thị trấn Còng, huyện Tĩnh Gia, Thanh Hóa</v>
      </c>
      <c r="G265" s="46" t="str">
        <f>IFERROR(__xludf.DUMMYFUNCTION("""COMPUTED_VALUE"""),"Nguồn PC")</f>
        <v>Nguồn PC</v>
      </c>
      <c r="H265" s="46"/>
      <c r="I265" s="46"/>
      <c r="J265" s="46" t="str">
        <f>IFERROR(__xludf.DUMMYFUNCTION("""COMPUTED_VALUE"""),"thay nguồn Pc")</f>
        <v>thay nguồn Pc</v>
      </c>
      <c r="K265" s="46"/>
      <c r="L265" s="46"/>
      <c r="M265" s="46"/>
      <c r="N265" s="46"/>
      <c r="O265" s="46"/>
      <c r="P265" s="46"/>
      <c r="Q265" s="46" t="str">
        <f>IFERROR(__xludf.DUMMYFUNCTION("""COMPUTED_VALUE"""),"Hoàn thành")</f>
        <v>Hoàn thành</v>
      </c>
      <c r="R265" s="46"/>
      <c r="S265" s="46"/>
      <c r="T265" s="46"/>
      <c r="U265" s="46"/>
      <c r="V265" s="46"/>
      <c r="W265" s="46"/>
      <c r="X265" s="46"/>
      <c r="Y265" s="46"/>
      <c r="Z265" s="46"/>
      <c r="AA265" s="46"/>
    </row>
    <row r="266">
      <c r="A266" s="55">
        <f>IFERROR(__xludf.DUMMYFUNCTION("""COMPUTED_VALUE"""),44304.88643431713)</f>
        <v>44304.88643</v>
      </c>
      <c r="B266" s="56">
        <f>IFERROR(__xludf.DUMMYFUNCTION("""COMPUTED_VALUE"""),44281.0)</f>
        <v>44281</v>
      </c>
      <c r="C266" s="59" t="str">
        <f t="shared" si="3"/>
        <v>Báo cáo muộn</v>
      </c>
      <c r="D266" s="46" t="str">
        <f>IFERROR(__xludf.DUMMYFUNCTION("""COMPUTED_VALUE"""),"thuongd")</f>
        <v>thuongd</v>
      </c>
      <c r="E266" s="57" t="str">
        <f>IFERROR(__xludf.DUMMYFUNCTION("""COMPUTED_VALUE"""),"5310180670")</f>
        <v>5310180670</v>
      </c>
      <c r="F266" s="46" t="str">
        <f>IFERROR(__xludf.DUMMYFUNCTION("""COMPUTED_VALUE"""),"Khối Nam Sơn, TT Kim Sơn, Huyện Quế Phong, Tỉnh Nghệ An")</f>
        <v>Khối Nam Sơn, TT Kim Sơn, Huyện Quế Phong, Tỉnh Nghệ An</v>
      </c>
      <c r="G266" s="46" t="str">
        <f>IFERROR(__xludf.DUMMYFUNCTION("""COMPUTED_VALUE"""),"kẹt tiền ở ddu, Pre")</f>
        <v>kẹt tiền ở ddu, Pre</v>
      </c>
      <c r="H266" s="46"/>
      <c r="I266" s="46"/>
      <c r="J266" s="46" t="str">
        <f>IFERROR(__xludf.DUMMYFUNCTION("""COMPUTED_VALUE"""),"gỡ tiền kẹt")</f>
        <v>gỡ tiền kẹt</v>
      </c>
      <c r="K266" s="46"/>
      <c r="L266" s="46"/>
      <c r="M266" s="46"/>
      <c r="N266" s="46"/>
      <c r="O266" s="46"/>
      <c r="P266" s="46"/>
      <c r="Q266" s="46" t="str">
        <f>IFERROR(__xludf.DUMMYFUNCTION("""COMPUTED_VALUE"""),"Hoàn thành")</f>
        <v>Hoàn thành</v>
      </c>
      <c r="R266" s="46"/>
      <c r="S266" s="46"/>
      <c r="T266" s="46"/>
      <c r="U266" s="46"/>
      <c r="V266" s="46"/>
      <c r="W266" s="46"/>
      <c r="X266" s="46"/>
      <c r="Y266" s="46"/>
      <c r="Z266" s="46"/>
      <c r="AA266" s="46"/>
    </row>
    <row r="267">
      <c r="A267" s="55">
        <f>IFERROR(__xludf.DUMMYFUNCTION("""COMPUTED_VALUE"""),44304.88692518519)</f>
        <v>44304.88693</v>
      </c>
      <c r="B267" s="56">
        <f>IFERROR(__xludf.DUMMYFUNCTION("""COMPUTED_VALUE"""),44284.0)</f>
        <v>44284</v>
      </c>
      <c r="C267" s="59" t="str">
        <f t="shared" si="3"/>
        <v>Báo cáo muộn</v>
      </c>
      <c r="D267" s="46" t="str">
        <f>IFERROR(__xludf.DUMMYFUNCTION("""COMPUTED_VALUE"""),"thuongd")</f>
        <v>thuongd</v>
      </c>
      <c r="E267" s="57" t="str">
        <f>IFERROR(__xludf.DUMMYFUNCTION("""COMPUTED_VALUE"""),"5310183047")</f>
        <v>5310183047</v>
      </c>
      <c r="F267" s="46" t="str">
        <f>IFERROR(__xludf.DUMMYFUNCTION("""COMPUTED_VALUE"""),"Số 09 Đường Nguyễn Trung Thiên, TT Hương Khê, tỉnh Hà Tĩnh")</f>
        <v>Số 09 Đường Nguyễn Trung Thiên, TT Hương Khê, tỉnh Hà Tĩnh</v>
      </c>
      <c r="G267" s="46" t="str">
        <f>IFERROR(__xludf.DUMMYFUNCTION("""COMPUTED_VALUE"""),"đầu đọc thẻ")</f>
        <v>đầu đọc thẻ</v>
      </c>
      <c r="H267" s="46"/>
      <c r="I267" s="46"/>
      <c r="J267" s="46" t="str">
        <f>IFERROR(__xludf.DUMMYFUNCTION("""COMPUTED_VALUE"""),"Vệ sinh dâud ffọc thẻ")</f>
        <v>Vệ sinh dâud ffọc thẻ</v>
      </c>
      <c r="K267" s="46"/>
      <c r="L267" s="46"/>
      <c r="M267" s="46"/>
      <c r="N267" s="46"/>
      <c r="O267" s="46"/>
      <c r="P267" s="46"/>
      <c r="Q267" s="46" t="str">
        <f>IFERROR(__xludf.DUMMYFUNCTION("""COMPUTED_VALUE"""),"Hoàn thành")</f>
        <v>Hoàn thành</v>
      </c>
      <c r="R267" s="46"/>
      <c r="S267" s="46"/>
      <c r="T267" s="46"/>
      <c r="U267" s="46"/>
      <c r="V267" s="46"/>
      <c r="W267" s="46"/>
      <c r="X267" s="46"/>
      <c r="Y267" s="46"/>
      <c r="Z267" s="46"/>
      <c r="AA267" s="46"/>
    </row>
    <row r="268">
      <c r="A268" s="55">
        <f>IFERROR(__xludf.DUMMYFUNCTION("""COMPUTED_VALUE"""),44304.887395300924)</f>
        <v>44304.8874</v>
      </c>
      <c r="B268" s="56">
        <f>IFERROR(__xludf.DUMMYFUNCTION("""COMPUTED_VALUE"""),44287.0)</f>
        <v>44287</v>
      </c>
      <c r="C268" s="59" t="str">
        <f t="shared" si="3"/>
        <v>Báo cáo muộn</v>
      </c>
      <c r="D268" s="46" t="str">
        <f>IFERROR(__xludf.DUMMYFUNCTION("""COMPUTED_VALUE"""),"thuongd")</f>
        <v>thuongd</v>
      </c>
      <c r="E268" s="57" t="str">
        <f>IFERROR(__xludf.DUMMYFUNCTION("""COMPUTED_VALUE"""),"5300380318")</f>
        <v>5300380318</v>
      </c>
      <c r="F268" s="46" t="str">
        <f>IFERROR(__xludf.DUMMYFUNCTION("""COMPUTED_VALUE"""),"Đường 1 A Thị trấn Kỳ Anh")</f>
        <v>Đường 1 A Thị trấn Kỳ Anh</v>
      </c>
      <c r="G268" s="46" t="str">
        <f>IFERROR(__xludf.DUMMYFUNCTION("""COMPUTED_VALUE"""),"Bảo trì")</f>
        <v>Bảo trì</v>
      </c>
      <c r="H268" s="46"/>
      <c r="I268" s="46"/>
      <c r="J268" s="46" t="str">
        <f>IFERROR(__xludf.DUMMYFUNCTION("""COMPUTED_VALUE"""),"Vệ sinh máy")</f>
        <v>Vệ sinh máy</v>
      </c>
      <c r="K268" s="46"/>
      <c r="L268" s="46"/>
      <c r="M268" s="46"/>
      <c r="N268" s="46"/>
      <c r="O268" s="46"/>
      <c r="P268" s="46"/>
      <c r="Q268" s="46" t="str">
        <f>IFERROR(__xludf.DUMMYFUNCTION("""COMPUTED_VALUE"""),"Hoàn thành")</f>
        <v>Hoàn thành</v>
      </c>
      <c r="R268" s="46"/>
      <c r="S268" s="46"/>
      <c r="T268" s="46"/>
      <c r="U268" s="46"/>
      <c r="V268" s="46"/>
      <c r="W268" s="46"/>
      <c r="X268" s="46"/>
      <c r="Y268" s="46"/>
      <c r="Z268" s="46"/>
      <c r="AA268" s="46"/>
    </row>
    <row r="269">
      <c r="A269" s="55">
        <f>IFERROR(__xludf.DUMMYFUNCTION("""COMPUTED_VALUE"""),44304.88768777778)</f>
        <v>44304.88769</v>
      </c>
      <c r="B269" s="56">
        <f>IFERROR(__xludf.DUMMYFUNCTION("""COMPUTED_VALUE"""),44288.0)</f>
        <v>44288</v>
      </c>
      <c r="C269" s="59" t="str">
        <f t="shared" si="3"/>
        <v>Báo cáo muộn</v>
      </c>
      <c r="D269" s="46" t="str">
        <f>IFERROR(__xludf.DUMMYFUNCTION("""COMPUTED_VALUE"""),"thuongd")</f>
        <v>thuongd</v>
      </c>
      <c r="E269" s="57" t="str">
        <f>IFERROR(__xludf.DUMMYFUNCTION("""COMPUTED_VALUE"""),"5300380596")</f>
        <v>5300380596</v>
      </c>
      <c r="F269" s="46" t="str">
        <f>IFERROR(__xludf.DUMMYFUNCTION("""COMPUTED_VALUE"""),"Đường 1 A Cẩm Xuyên - Hà Tĩnh")</f>
        <v>Đường 1 A Cẩm Xuyên - Hà Tĩnh</v>
      </c>
      <c r="G269" s="46" t="str">
        <f>IFERROR(__xludf.DUMMYFUNCTION("""COMPUTED_VALUE"""),"Bảo trì")</f>
        <v>Bảo trì</v>
      </c>
      <c r="H269" s="46"/>
      <c r="I269" s="46"/>
      <c r="J269" s="46" t="str">
        <f>IFERROR(__xludf.DUMMYFUNCTION("""COMPUTED_VALUE"""),"Vệ sinh máy")</f>
        <v>Vệ sinh máy</v>
      </c>
      <c r="K269" s="46"/>
      <c r="L269" s="46"/>
      <c r="M269" s="46"/>
      <c r="N269" s="46"/>
      <c r="O269" s="46"/>
      <c r="P269" s="46"/>
      <c r="Q269" s="46" t="str">
        <f>IFERROR(__xludf.DUMMYFUNCTION("""COMPUTED_VALUE"""),"Hoàn thành")</f>
        <v>Hoàn thành</v>
      </c>
      <c r="R269" s="46"/>
      <c r="S269" s="46"/>
      <c r="T269" s="46"/>
      <c r="U269" s="46"/>
      <c r="V269" s="46"/>
      <c r="W269" s="46"/>
      <c r="X269" s="46"/>
      <c r="Y269" s="46"/>
      <c r="Z269" s="46"/>
      <c r="AA269" s="46"/>
    </row>
    <row r="270">
      <c r="A270" s="55">
        <f>IFERROR(__xludf.DUMMYFUNCTION("""COMPUTED_VALUE"""),44304.88857900463)</f>
        <v>44304.88858</v>
      </c>
      <c r="B270" s="56">
        <f>IFERROR(__xludf.DUMMYFUNCTION("""COMPUTED_VALUE"""),44293.0)</f>
        <v>44293</v>
      </c>
      <c r="C270" s="59" t="str">
        <f t="shared" si="3"/>
        <v>Báo cáo muộn</v>
      </c>
      <c r="D270" s="46" t="str">
        <f>IFERROR(__xludf.DUMMYFUNCTION("""COMPUTED_VALUE"""),"thuongd")</f>
        <v>thuongd</v>
      </c>
      <c r="E270" s="57" t="str">
        <f>IFERROR(__xludf.DUMMYFUNCTION("""COMPUTED_VALUE"""),"5300380354")</f>
        <v>5300380354</v>
      </c>
      <c r="F270" s="46" t="str">
        <f>IFERROR(__xludf.DUMMYFUNCTION("""COMPUTED_VALUE"""),"Xóm Hợp Thuận, xã Xuân Phổ, Nghi Xuân, Hà Tĩnh")</f>
        <v>Xóm Hợp Thuận, xã Xuân Phổ, Nghi Xuân, Hà Tĩnh</v>
      </c>
      <c r="G270" s="46" t="str">
        <f>IFERROR(__xludf.DUMMYFUNCTION("""COMPUTED_VALUE"""),"Bảo trì")</f>
        <v>Bảo trì</v>
      </c>
      <c r="H270" s="46"/>
      <c r="I270" s="46"/>
      <c r="J270" s="46" t="str">
        <f>IFERROR(__xludf.DUMMYFUNCTION("""COMPUTED_VALUE"""),"Vệ sinh máy")</f>
        <v>Vệ sinh máy</v>
      </c>
      <c r="K270" s="46"/>
      <c r="L270" s="46"/>
      <c r="M270" s="46"/>
      <c r="N270" s="46"/>
      <c r="O270" s="46"/>
      <c r="P270" s="46"/>
      <c r="Q270" s="46" t="str">
        <f>IFERROR(__xludf.DUMMYFUNCTION("""COMPUTED_VALUE"""),"Hoàn thành")</f>
        <v>Hoàn thành</v>
      </c>
      <c r="R270" s="46"/>
      <c r="S270" s="46"/>
      <c r="T270" s="46"/>
      <c r="U270" s="46"/>
      <c r="V270" s="46"/>
      <c r="W270" s="46"/>
      <c r="X270" s="46"/>
      <c r="Y270" s="46"/>
      <c r="Z270" s="46"/>
      <c r="AA270" s="46"/>
    </row>
    <row r="271">
      <c r="A271" s="55">
        <f>IFERROR(__xludf.DUMMYFUNCTION("""COMPUTED_VALUE"""),44304.888900081016)</f>
        <v>44304.8889</v>
      </c>
      <c r="B271" s="56">
        <f>IFERROR(__xludf.DUMMYFUNCTION("""COMPUTED_VALUE"""),44294.0)</f>
        <v>44294</v>
      </c>
      <c r="C271" s="59" t="str">
        <f t="shared" si="3"/>
        <v>Báo cáo muộn</v>
      </c>
      <c r="D271" s="46" t="str">
        <f>IFERROR(__xludf.DUMMYFUNCTION("""COMPUTED_VALUE"""),"thuongd")</f>
        <v>thuongd</v>
      </c>
      <c r="E271" s="57" t="str">
        <f>IFERROR(__xludf.DUMMYFUNCTION("""COMPUTED_VALUE"""),"5300380326")</f>
        <v>5300380326</v>
      </c>
      <c r="F271" s="46" t="str">
        <f>IFERROR(__xludf.DUMMYFUNCTION("""COMPUTED_VALUE"""),"Thôn Trung Nam, xã Lâm Trung Thủy, H. Đức Thọ, T. Hà Tĩnh")</f>
        <v>Thôn Trung Nam, xã Lâm Trung Thủy, H. Đức Thọ, T. Hà Tĩnh</v>
      </c>
      <c r="G271" s="46" t="str">
        <f>IFERROR(__xludf.DUMMYFUNCTION("""COMPUTED_VALUE"""),"Bảo trì")</f>
        <v>Bảo trì</v>
      </c>
      <c r="H271" s="46"/>
      <c r="I271" s="46"/>
      <c r="J271" s="46" t="str">
        <f>IFERROR(__xludf.DUMMYFUNCTION("""COMPUTED_VALUE"""),"Vệ sinh máy")</f>
        <v>Vệ sinh máy</v>
      </c>
      <c r="K271" s="46"/>
      <c r="L271" s="46"/>
      <c r="M271" s="46"/>
      <c r="N271" s="46"/>
      <c r="O271" s="46"/>
      <c r="P271" s="46"/>
      <c r="Q271" s="46" t="str">
        <f>IFERROR(__xludf.DUMMYFUNCTION("""COMPUTED_VALUE"""),"Hoàn thành")</f>
        <v>Hoàn thành</v>
      </c>
      <c r="R271" s="46"/>
      <c r="S271" s="46"/>
      <c r="T271" s="46"/>
      <c r="U271" s="46"/>
      <c r="V271" s="46"/>
      <c r="W271" s="46"/>
      <c r="X271" s="46"/>
      <c r="Y271" s="46"/>
      <c r="Z271" s="46"/>
      <c r="AA271" s="46"/>
    </row>
    <row r="272">
      <c r="A272" s="55">
        <f>IFERROR(__xludf.DUMMYFUNCTION("""COMPUTED_VALUE"""),44304.889222962964)</f>
        <v>44304.88922</v>
      </c>
      <c r="B272" s="56">
        <f>IFERROR(__xludf.DUMMYFUNCTION("""COMPUTED_VALUE"""),44295.0)</f>
        <v>44295</v>
      </c>
      <c r="C272" s="59" t="str">
        <f t="shared" si="3"/>
        <v>Báo cáo muộn</v>
      </c>
      <c r="D272" s="46" t="str">
        <f>IFERROR(__xludf.DUMMYFUNCTION("""COMPUTED_VALUE"""),"thuongd")</f>
        <v>thuongd</v>
      </c>
      <c r="E272" s="57" t="str">
        <f>IFERROR(__xludf.DUMMYFUNCTION("""COMPUTED_VALUE"""),"5310182376")</f>
        <v>5310182376</v>
      </c>
      <c r="F272" s="46" t="str">
        <f>IFERROR(__xludf.DUMMYFUNCTION("""COMPUTED_VALUE"""),"Xóm Mậu 1, xã Kim Liên, huyện Nam Đàn, tỉnh Nghệ An")</f>
        <v>Xóm Mậu 1, xã Kim Liên, huyện Nam Đàn, tỉnh Nghệ An</v>
      </c>
      <c r="G272" s="46" t="str">
        <f>IFERROR(__xludf.DUMMYFUNCTION("""COMPUTED_VALUE"""),"tiền loại nhiều")</f>
        <v>tiền loại nhiều</v>
      </c>
      <c r="H272" s="46"/>
      <c r="I272" s="46"/>
      <c r="J272" s="46" t="str">
        <f>IFERROR(__xludf.DUMMYFUNCTION("""COMPUTED_VALUE"""),"Vệ sinh máy")</f>
        <v>Vệ sinh máy</v>
      </c>
      <c r="K272" s="46"/>
      <c r="L272" s="46"/>
      <c r="M272" s="46"/>
      <c r="N272" s="46"/>
      <c r="O272" s="46"/>
      <c r="P272" s="46"/>
      <c r="Q272" s="46" t="str">
        <f>IFERROR(__xludf.DUMMYFUNCTION("""COMPUTED_VALUE"""),"Hoàn thành")</f>
        <v>Hoàn thành</v>
      </c>
      <c r="R272" s="46"/>
      <c r="S272" s="46"/>
      <c r="T272" s="46"/>
      <c r="U272" s="46"/>
      <c r="V272" s="46"/>
      <c r="W272" s="46"/>
      <c r="X272" s="46"/>
      <c r="Y272" s="46"/>
      <c r="Z272" s="46"/>
      <c r="AA272" s="46"/>
    </row>
    <row r="273">
      <c r="A273" s="55">
        <f>IFERROR(__xludf.DUMMYFUNCTION("""COMPUTED_VALUE"""),44304.889570300926)</f>
        <v>44304.88957</v>
      </c>
      <c r="B273" s="56">
        <f>IFERROR(__xludf.DUMMYFUNCTION("""COMPUTED_VALUE"""),44299.0)</f>
        <v>44299</v>
      </c>
      <c r="C273" s="59" t="str">
        <f t="shared" si="3"/>
        <v>Báo cáo muộn</v>
      </c>
      <c r="D273" s="46" t="str">
        <f>IFERROR(__xludf.DUMMYFUNCTION("""COMPUTED_VALUE"""),"thuongd")</f>
        <v>thuongd</v>
      </c>
      <c r="E273" s="57" t="str">
        <f>IFERROR(__xludf.DUMMYFUNCTION("""COMPUTED_VALUE"""),"5310180750")</f>
        <v>5310180750</v>
      </c>
      <c r="F273" s="46" t="str">
        <f>IFERROR(__xludf.DUMMYFUNCTION("""COMPUTED_VALUE"""),"Khối 2, TT Yên Thành, huyện Yên Thành, tỉnh Nghệ An")</f>
        <v>Khối 2, TT Yên Thành, huyện Yên Thành, tỉnh Nghệ An</v>
      </c>
      <c r="G273" s="46" t="str">
        <f>IFERROR(__xludf.DUMMYFUNCTION("""COMPUTED_VALUE"""),"lỗi hđh")</f>
        <v>lỗi hđh</v>
      </c>
      <c r="H273" s="46"/>
      <c r="I273" s="46"/>
      <c r="J273" s="46" t="str">
        <f>IFERROR(__xludf.DUMMYFUNCTION("""COMPUTED_VALUE"""),"Ghost lại hđh")</f>
        <v>Ghost lại hđh</v>
      </c>
      <c r="K273" s="46"/>
      <c r="L273" s="46"/>
      <c r="M273" s="46"/>
      <c r="N273" s="46"/>
      <c r="O273" s="46"/>
      <c r="P273" s="46"/>
      <c r="Q273" s="46" t="str">
        <f>IFERROR(__xludf.DUMMYFUNCTION("""COMPUTED_VALUE"""),"Hoàn thành")</f>
        <v>Hoàn thành</v>
      </c>
      <c r="R273" s="46"/>
      <c r="S273" s="46"/>
      <c r="T273" s="46"/>
      <c r="U273" s="46"/>
      <c r="V273" s="46"/>
      <c r="W273" s="46"/>
      <c r="X273" s="46"/>
      <c r="Y273" s="46"/>
      <c r="Z273" s="46"/>
      <c r="AA273" s="46"/>
    </row>
    <row r="274">
      <c r="A274" s="55">
        <f>IFERROR(__xludf.DUMMYFUNCTION("""COMPUTED_VALUE"""),44304.88996881944)</f>
        <v>44304.88997</v>
      </c>
      <c r="B274" s="56">
        <f>IFERROR(__xludf.DUMMYFUNCTION("""COMPUTED_VALUE"""),44302.0)</f>
        <v>44302</v>
      </c>
      <c r="C274" s="59" t="str">
        <f t="shared" si="3"/>
        <v>Báo cáo muộn</v>
      </c>
      <c r="D274" s="46" t="str">
        <f>IFERROR(__xludf.DUMMYFUNCTION("""COMPUTED_VALUE"""),"thuongd")</f>
        <v>thuongd</v>
      </c>
      <c r="E274" s="57" t="str">
        <f>IFERROR(__xludf.DUMMYFUNCTION("""COMPUTED_VALUE"""),"5300380596")</f>
        <v>5300380596</v>
      </c>
      <c r="F274" s="46" t="str">
        <f>IFERROR(__xludf.DUMMYFUNCTION("""COMPUTED_VALUE"""),"Đường 1 A Cẩm Xuyên - Hà Tĩnh")</f>
        <v>Đường 1 A Cẩm Xuyên - Hà Tĩnh</v>
      </c>
      <c r="G274" s="46" t="str">
        <f>IFERROR(__xludf.DUMMYFUNCTION("""COMPUTED_VALUE"""),"tiền loại nhiều")</f>
        <v>tiền loại nhiều</v>
      </c>
      <c r="H274" s="46"/>
      <c r="I274" s="46"/>
      <c r="J274" s="46" t="str">
        <f>IFERROR(__xludf.DUMMYFUNCTION("""COMPUTED_VALUE"""),"Vệ sinh máy")</f>
        <v>Vệ sinh máy</v>
      </c>
      <c r="K274" s="46"/>
      <c r="L274" s="46"/>
      <c r="M274" s="46"/>
      <c r="N274" s="46"/>
      <c r="O274" s="46"/>
      <c r="P274" s="46"/>
      <c r="Q274" s="46" t="str">
        <f>IFERROR(__xludf.DUMMYFUNCTION("""COMPUTED_VALUE"""),"Hoàn thành")</f>
        <v>Hoàn thành</v>
      </c>
      <c r="R274" s="46"/>
      <c r="S274" s="46"/>
      <c r="T274" s="46"/>
      <c r="U274" s="46"/>
      <c r="V274" s="46"/>
      <c r="W274" s="46"/>
      <c r="X274" s="46"/>
      <c r="Y274" s="46"/>
      <c r="Z274" s="46"/>
      <c r="AA274" s="46"/>
    </row>
    <row r="275">
      <c r="A275" s="55">
        <f>IFERROR(__xludf.DUMMYFUNCTION("""COMPUTED_VALUE"""),44304.89053366898)</f>
        <v>44304.89053</v>
      </c>
      <c r="B275" s="56">
        <f>IFERROR(__xludf.DUMMYFUNCTION("""COMPUTED_VALUE"""),44303.0)</f>
        <v>44303</v>
      </c>
      <c r="C275" s="59" t="str">
        <f t="shared" si="3"/>
        <v/>
      </c>
      <c r="D275" s="46" t="str">
        <f>IFERROR(__xludf.DUMMYFUNCTION("""COMPUTED_VALUE"""),"thuongd")</f>
        <v>thuongd</v>
      </c>
      <c r="E275" s="57" t="str">
        <f>IFERROR(__xludf.DUMMYFUNCTION("""COMPUTED_VALUE"""),"5300381741")</f>
        <v>5300381741</v>
      </c>
      <c r="F275" s="46" t="str">
        <f>IFERROR(__xludf.DUMMYFUNCTION("""COMPUTED_VALUE"""),"Thị trấn Còng, huyện Tĩnh Gia, Thanh Hóa")</f>
        <v>Thị trấn Còng, huyện Tĩnh Gia, Thanh Hóa</v>
      </c>
      <c r="G275" s="46" t="str">
        <f>IFERROR(__xludf.DUMMYFUNCTION("""COMPUTED_VALUE"""),"tiền loại nhiều")</f>
        <v>tiền loại nhiều</v>
      </c>
      <c r="H275" s="46"/>
      <c r="I275" s="46"/>
      <c r="J275" s="46" t="str">
        <f>IFERROR(__xludf.DUMMYFUNCTION("""COMPUTED_VALUE"""),"Vệ sinh máy")</f>
        <v>Vệ sinh máy</v>
      </c>
      <c r="K275" s="46" t="str">
        <f>IFERROR(__xludf.DUMMYFUNCTION("""COMPUTED_VALUE"""),"trục GAP")</f>
        <v>trục GAP</v>
      </c>
      <c r="L275" s="46" t="str">
        <f>IFERROR(__xludf.DUMMYFUNCTION("""COMPUTED_VALUE"""),"02 Dây coroa Ex")</f>
        <v>02 Dây coroa Ex</v>
      </c>
      <c r="M275" s="46"/>
      <c r="N275" s="46"/>
      <c r="O275" s="46"/>
      <c r="P275" s="46"/>
      <c r="Q275" s="46" t="str">
        <f>IFERROR(__xludf.DUMMYFUNCTION("""COMPUTED_VALUE"""),"Hoàn thành")</f>
        <v>Hoàn thành</v>
      </c>
      <c r="R275" s="46"/>
      <c r="S275" s="46"/>
      <c r="T275" s="46"/>
      <c r="U275" s="46"/>
      <c r="V275" s="46"/>
      <c r="W275" s="46"/>
      <c r="X275" s="46"/>
      <c r="Y275" s="46"/>
      <c r="Z275" s="46"/>
      <c r="AA275" s="46"/>
    </row>
    <row r="276">
      <c r="A276" s="55">
        <f>IFERROR(__xludf.DUMMYFUNCTION("""COMPUTED_VALUE"""),44304.893557303236)</f>
        <v>44304.89356</v>
      </c>
      <c r="B276" s="56">
        <f>IFERROR(__xludf.DUMMYFUNCTION("""COMPUTED_VALUE"""),44302.0)</f>
        <v>44302</v>
      </c>
      <c r="C276" s="59" t="str">
        <f t="shared" si="3"/>
        <v>Báo cáo muộn</v>
      </c>
      <c r="D276" s="46" t="str">
        <f>IFERROR(__xludf.DUMMYFUNCTION("""COMPUTED_VALUE"""),"thangnx")</f>
        <v>thangnx</v>
      </c>
      <c r="E276" s="57" t="str">
        <f>IFERROR(__xludf.DUMMYFUNCTION("""COMPUTED_VALUE"""),"5310181123")</f>
        <v>5310181123</v>
      </c>
      <c r="F276" s="46" t="str">
        <f>IFERROR(__xludf.DUMMYFUNCTION("""COMPUTED_VALUE"""),"TT Thanh Sơn, Sơn Động, Bắc Giang")</f>
        <v>TT Thanh Sơn, Sơn Động, Bắc Giang</v>
      </c>
      <c r="G276" s="46" t="str">
        <f>IFERROR(__xludf.DUMMYFUNCTION("""COMPUTED_VALUE"""),"Lỗi 2-3")</f>
        <v>Lỗi 2-3</v>
      </c>
      <c r="H276" s="46"/>
      <c r="I276" s="46"/>
      <c r="J276" s="46" t="str">
        <f>IFERROR(__xludf.DUMMYFUNCTION("""COMPUTED_VALUE"""),"Nối dây sensor bị đứt")</f>
        <v>Nối dây sensor bị đứt</v>
      </c>
      <c r="K276" s="46"/>
      <c r="L276" s="46"/>
      <c r="M276" s="46"/>
      <c r="N276" s="46"/>
      <c r="O276" s="46"/>
      <c r="P276" s="46"/>
      <c r="Q276" s="46" t="str">
        <f>IFERROR(__xludf.DUMMYFUNCTION("""COMPUTED_VALUE"""),"Hoàn thành")</f>
        <v>Hoàn thành</v>
      </c>
      <c r="R276" s="46"/>
      <c r="S276" s="46"/>
      <c r="T276" s="46"/>
      <c r="U276" s="46"/>
      <c r="V276" s="46"/>
      <c r="W276" s="46"/>
      <c r="X276" s="46"/>
      <c r="Y276" s="46"/>
      <c r="Z276" s="46"/>
      <c r="AA276" s="46"/>
    </row>
    <row r="277">
      <c r="A277" s="55">
        <f>IFERROR(__xludf.DUMMYFUNCTION("""COMPUTED_VALUE"""),44305.390663831015)</f>
        <v>44305.39066</v>
      </c>
      <c r="B277" s="56">
        <f>IFERROR(__xludf.DUMMYFUNCTION("""COMPUTED_VALUE"""),44305.0)</f>
        <v>44305</v>
      </c>
      <c r="C277" s="59" t="str">
        <f t="shared" si="3"/>
        <v/>
      </c>
      <c r="D277" s="46" t="str">
        <f>IFERROR(__xludf.DUMMYFUNCTION("""COMPUTED_VALUE"""),"Duclb")</f>
        <v>Duclb</v>
      </c>
      <c r="E277" s="57" t="str">
        <f>IFERROR(__xludf.DUMMYFUNCTION("""COMPUTED_VALUE"""),"5300377168")</f>
        <v>5300377168</v>
      </c>
      <c r="F277" s="46" t="str">
        <f>IFERROR(__xludf.DUMMYFUNCTION("""COMPUTED_VALUE"""),"171 Nguyễn Trãi, Thanh Xuân, Hà Nội")</f>
        <v>171 Nguyễn Trãi, Thanh Xuân, Hà Nội</v>
      </c>
      <c r="G277" s="46" t="str">
        <f>IFERROR(__xludf.DUMMYFUNCTION("""COMPUTED_VALUE"""),"Lỗi đầu đọc thẻ")</f>
        <v>Lỗi đầu đọc thẻ</v>
      </c>
      <c r="H277" s="46"/>
      <c r="I277" s="46"/>
      <c r="J277" s="46"/>
      <c r="K277" s="46" t="str">
        <f>IFERROR(__xludf.DUMMYFUNCTION("""COMPUTED_VALUE"""),"01 đầu đọc thẻ")</f>
        <v>01 đầu đọc thẻ</v>
      </c>
      <c r="L277" s="46"/>
      <c r="M277" s="46"/>
      <c r="N277" s="46"/>
      <c r="O277" s="46"/>
      <c r="P277" s="46"/>
      <c r="Q277" s="46" t="str">
        <f>IFERROR(__xludf.DUMMYFUNCTION("""COMPUTED_VALUE"""),"Hoàn thành")</f>
        <v>Hoàn thành</v>
      </c>
      <c r="R277" s="46"/>
      <c r="S277" s="46"/>
      <c r="T277" s="46"/>
      <c r="U277" s="46"/>
      <c r="V277" s="46"/>
      <c r="W277" s="46"/>
      <c r="X277" s="46"/>
      <c r="Y277" s="46"/>
      <c r="Z277" s="46"/>
      <c r="AA277" s="46"/>
    </row>
    <row r="278">
      <c r="A278" s="55">
        <f>IFERROR(__xludf.DUMMYFUNCTION("""COMPUTED_VALUE"""),44305.45037736111)</f>
        <v>44305.45038</v>
      </c>
      <c r="B278" s="56">
        <f>IFERROR(__xludf.DUMMYFUNCTION("""COMPUTED_VALUE"""),44300.0)</f>
        <v>44300</v>
      </c>
      <c r="C278" s="59" t="str">
        <f t="shared" si="3"/>
        <v>Báo cáo muộn</v>
      </c>
      <c r="D278" s="46" t="str">
        <f>IFERROR(__xludf.DUMMYFUNCTION("""COMPUTED_VALUE"""),"thuongd")</f>
        <v>thuongd</v>
      </c>
      <c r="E278" s="57" t="str">
        <f>IFERROR(__xludf.DUMMYFUNCTION("""COMPUTED_VALUE"""),"5310182817")</f>
        <v>5310182817</v>
      </c>
      <c r="F278" s="46" t="str">
        <f>IFERROR(__xludf.DUMMYFUNCTION("""COMPUTED_VALUE"""),"Số 01, đường Phan Đình Phùng, TP Hà Tĩnh")</f>
        <v>Số 01, đường Phan Đình Phùng, TP Hà Tĩnh</v>
      </c>
      <c r="G278" s="46" t="str">
        <f>IFERROR(__xludf.DUMMYFUNCTION("""COMPUTED_VALUE"""),"hay kẹt tiền 500k ở hộp")</f>
        <v>hay kẹt tiền 500k ở hộp</v>
      </c>
      <c r="H278" s="46"/>
      <c r="I278" s="46"/>
      <c r="J278" s="46" t="str">
        <f>IFERROR(__xludf.DUMMYFUNCTION("""COMPUTED_VALUE"""),"Vệ sinh máy, căn chỉnh GAP")</f>
        <v>Vệ sinh máy, căn chỉnh GAP</v>
      </c>
      <c r="K278" s="46"/>
      <c r="L278" s="46"/>
      <c r="M278" s="46"/>
      <c r="N278" s="46"/>
      <c r="O278" s="46"/>
      <c r="P278" s="46"/>
      <c r="Q278" s="46" t="str">
        <f>IFERROR(__xludf.DUMMYFUNCTION("""COMPUTED_VALUE"""),"Hoàn thành")</f>
        <v>Hoàn thành</v>
      </c>
      <c r="R278" s="46"/>
      <c r="S278" s="46"/>
      <c r="T278" s="46"/>
      <c r="U278" s="46"/>
      <c r="V278" s="46"/>
      <c r="W278" s="46"/>
      <c r="X278" s="46"/>
      <c r="Y278" s="46"/>
      <c r="Z278" s="46"/>
      <c r="AA278" s="46"/>
    </row>
    <row r="279">
      <c r="A279" s="55">
        <f>IFERROR(__xludf.DUMMYFUNCTION("""COMPUTED_VALUE"""),44305.45993628472)</f>
        <v>44305.45994</v>
      </c>
      <c r="B279" s="56">
        <f>IFERROR(__xludf.DUMMYFUNCTION("""COMPUTED_VALUE"""),44291.0)</f>
        <v>44291</v>
      </c>
      <c r="C279" s="59" t="str">
        <f t="shared" si="3"/>
        <v>Báo cáo muộn</v>
      </c>
      <c r="D279" s="46" t="str">
        <f>IFERROR(__xludf.DUMMYFUNCTION("""COMPUTED_VALUE"""),"thuongd")</f>
        <v>thuongd</v>
      </c>
      <c r="E279" s="57" t="str">
        <f>IFERROR(__xludf.DUMMYFUNCTION("""COMPUTED_VALUE"""),"5300381712")</f>
        <v>5300381712</v>
      </c>
      <c r="F279" s="46" t="str">
        <f>IFERROR(__xludf.DUMMYFUNCTION("""COMPUTED_VALUE"""),"42 Trần Phú - TX. Hồng Lĩnh- Hà Tĩnh")</f>
        <v>42 Trần Phú - TX. Hồng Lĩnh- Hà Tĩnh</v>
      </c>
      <c r="G279" s="46" t="str">
        <f>IFERROR(__xludf.DUMMYFUNCTION("""COMPUTED_VALUE"""),"Bảo trì")</f>
        <v>Bảo trì</v>
      </c>
      <c r="H279" s="46"/>
      <c r="I279" s="46"/>
      <c r="J279" s="46" t="str">
        <f>IFERROR(__xludf.DUMMYFUNCTION("""COMPUTED_VALUE"""),"Vệ sinh máy")</f>
        <v>Vệ sinh máy</v>
      </c>
      <c r="K279" s="46"/>
      <c r="L279" s="46"/>
      <c r="M279" s="46"/>
      <c r="N279" s="46"/>
      <c r="O279" s="46"/>
      <c r="P279" s="46"/>
      <c r="Q279" s="46" t="str">
        <f>IFERROR(__xludf.DUMMYFUNCTION("""COMPUTED_VALUE"""),"Hoàn thành")</f>
        <v>Hoàn thành</v>
      </c>
      <c r="R279" s="46"/>
      <c r="S279" s="46"/>
      <c r="T279" s="46"/>
      <c r="U279" s="46"/>
      <c r="V279" s="46"/>
      <c r="W279" s="46"/>
      <c r="X279" s="46"/>
      <c r="Y279" s="46"/>
      <c r="Z279" s="46"/>
      <c r="AA279" s="46"/>
    </row>
    <row r="280">
      <c r="A280" s="55">
        <f>IFERROR(__xludf.DUMMYFUNCTION("""COMPUTED_VALUE"""),44305.46028035879)</f>
        <v>44305.46028</v>
      </c>
      <c r="B280" s="56">
        <f>IFERROR(__xludf.DUMMYFUNCTION("""COMPUTED_VALUE"""),44292.0)</f>
        <v>44292</v>
      </c>
      <c r="C280" s="59" t="str">
        <f t="shared" si="3"/>
        <v>Báo cáo muộn</v>
      </c>
      <c r="D280" s="46" t="str">
        <f>IFERROR(__xludf.DUMMYFUNCTION("""COMPUTED_VALUE"""),"thuongd")</f>
        <v>thuongd</v>
      </c>
      <c r="E280" s="57" t="str">
        <f>IFERROR(__xludf.DUMMYFUNCTION("""COMPUTED_VALUE"""),"5300380678")</f>
        <v>5300380678</v>
      </c>
      <c r="F280" s="46" t="str">
        <f>IFERROR(__xludf.DUMMYFUNCTION("""COMPUTED_VALUE"""),"Xóm 1 Nam Sơn - Thị trấn Nghèn - Can Lộc - Hà Tĩnh")</f>
        <v>Xóm 1 Nam Sơn - Thị trấn Nghèn - Can Lộc - Hà Tĩnh</v>
      </c>
      <c r="G280" s="46" t="str">
        <f>IFERROR(__xludf.DUMMYFUNCTION("""COMPUTED_VALUE"""),"Bảo trì")</f>
        <v>Bảo trì</v>
      </c>
      <c r="H280" s="46"/>
      <c r="I280" s="46"/>
      <c r="J280" s="46" t="str">
        <f>IFERROR(__xludf.DUMMYFUNCTION("""COMPUTED_VALUE"""),"Vệ sinh máy")</f>
        <v>Vệ sinh máy</v>
      </c>
      <c r="K280" s="46"/>
      <c r="L280" s="46"/>
      <c r="M280" s="46"/>
      <c r="N280" s="46"/>
      <c r="O280" s="46"/>
      <c r="P280" s="46"/>
      <c r="Q280" s="46" t="str">
        <f>IFERROR(__xludf.DUMMYFUNCTION("""COMPUTED_VALUE"""),"Hoàn thành")</f>
        <v>Hoàn thành</v>
      </c>
      <c r="R280" s="46"/>
      <c r="S280" s="46"/>
      <c r="T280" s="46"/>
      <c r="U280" s="46"/>
      <c r="V280" s="46"/>
      <c r="W280" s="46"/>
      <c r="X280" s="46"/>
      <c r="Y280" s="46"/>
      <c r="Z280" s="46"/>
      <c r="AA280" s="46"/>
    </row>
    <row r="281">
      <c r="A281" s="55">
        <f>IFERROR(__xludf.DUMMYFUNCTION("""COMPUTED_VALUE"""),44305.46091563658)</f>
        <v>44305.46092</v>
      </c>
      <c r="B281" s="56">
        <f>IFERROR(__xludf.DUMMYFUNCTION("""COMPUTED_VALUE"""),44301.0)</f>
        <v>44301</v>
      </c>
      <c r="C281" s="59" t="str">
        <f t="shared" si="3"/>
        <v>Báo cáo muộn</v>
      </c>
      <c r="D281" s="46" t="str">
        <f>IFERROR(__xludf.DUMMYFUNCTION("""COMPUTED_VALUE"""),"thuongd")</f>
        <v>thuongd</v>
      </c>
      <c r="E281" s="57" t="str">
        <f>IFERROR(__xludf.DUMMYFUNCTION("""COMPUTED_VALUE"""),"5300381778")</f>
        <v>5300381778</v>
      </c>
      <c r="F281" s="46" t="str">
        <f>IFERROR(__xludf.DUMMYFUNCTION("""COMPUTED_VALUE"""),"Xã Yên Sơn, H.Đô Lương, Nghệ An")</f>
        <v>Xã Yên Sơn, H.Đô Lương, Nghệ An</v>
      </c>
      <c r="G281" s="46" t="str">
        <f>IFERROR(__xludf.DUMMYFUNCTION("""COMPUTED_VALUE"""),"Bảo trì")</f>
        <v>Bảo trì</v>
      </c>
      <c r="H281" s="46"/>
      <c r="I281" s="46"/>
      <c r="J281" s="46" t="str">
        <f>IFERROR(__xludf.DUMMYFUNCTION("""COMPUTED_VALUE"""),"Vệ sinh máy")</f>
        <v>Vệ sinh máy</v>
      </c>
      <c r="K281" s="46"/>
      <c r="L281" s="46"/>
      <c r="M281" s="46"/>
      <c r="N281" s="46"/>
      <c r="O281" s="46"/>
      <c r="P281" s="46"/>
      <c r="Q281" s="46" t="str">
        <f>IFERROR(__xludf.DUMMYFUNCTION("""COMPUTED_VALUE"""),"Hoàn thành")</f>
        <v>Hoàn thành</v>
      </c>
      <c r="R281" s="46"/>
      <c r="S281" s="46"/>
      <c r="T281" s="46"/>
      <c r="U281" s="46"/>
      <c r="V281" s="46"/>
      <c r="W281" s="46"/>
      <c r="X281" s="46"/>
      <c r="Y281" s="46"/>
      <c r="Z281" s="46"/>
      <c r="AA281" s="46"/>
    </row>
    <row r="282">
      <c r="A282" s="55">
        <f>IFERROR(__xludf.DUMMYFUNCTION("""COMPUTED_VALUE"""),44305.461448449074)</f>
        <v>44305.46145</v>
      </c>
      <c r="B282" s="56">
        <f>IFERROR(__xludf.DUMMYFUNCTION("""COMPUTED_VALUE"""),44301.0)</f>
        <v>44301</v>
      </c>
      <c r="C282" s="59" t="str">
        <f t="shared" si="3"/>
        <v>Báo cáo muộn</v>
      </c>
      <c r="D282" s="46" t="str">
        <f>IFERROR(__xludf.DUMMYFUNCTION("""COMPUTED_VALUE"""),"thuongd")</f>
        <v>thuongd</v>
      </c>
      <c r="E282" s="57" t="str">
        <f>IFERROR(__xludf.DUMMYFUNCTION("""COMPUTED_VALUE"""),"5300381704")</f>
        <v>5300381704</v>
      </c>
      <c r="F282" s="46" t="str">
        <f>IFERROR(__xludf.DUMMYFUNCTION("""COMPUTED_VALUE"""),"Xóm 22, xã Nghi Trung, H.Nghi Lộc, Nghệ An")</f>
        <v>Xóm 22, xã Nghi Trung, H.Nghi Lộc, Nghệ An</v>
      </c>
      <c r="G282" s="46" t="str">
        <f>IFERROR(__xludf.DUMMYFUNCTION("""COMPUTED_VALUE"""),"Bảo trì")</f>
        <v>Bảo trì</v>
      </c>
      <c r="H282" s="46"/>
      <c r="I282" s="46"/>
      <c r="J282" s="46" t="str">
        <f>IFERROR(__xludf.DUMMYFUNCTION("""COMPUTED_VALUE"""),"Vệ sinh máy")</f>
        <v>Vệ sinh máy</v>
      </c>
      <c r="K282" s="46" t="str">
        <f>IFERROR(__xludf.DUMMYFUNCTION("""COMPUTED_VALUE"""),"Trục GAP")</f>
        <v>Trục GAP</v>
      </c>
      <c r="L282" s="46" t="str">
        <f>IFERROR(__xludf.DUMMYFUNCTION("""COMPUTED_VALUE"""),"02 Dây coroa Ex")</f>
        <v>02 Dây coroa Ex</v>
      </c>
      <c r="M282" s="46"/>
      <c r="N282" s="46"/>
      <c r="O282" s="46"/>
      <c r="P282" s="46"/>
      <c r="Q282" s="46" t="str">
        <f>IFERROR(__xludf.DUMMYFUNCTION("""COMPUTED_VALUE"""),"Hoàn thành")</f>
        <v>Hoàn thành</v>
      </c>
      <c r="R282" s="46"/>
      <c r="S282" s="46"/>
      <c r="T282" s="46"/>
      <c r="U282" s="46"/>
      <c r="V282" s="46"/>
      <c r="W282" s="46"/>
      <c r="X282" s="46"/>
      <c r="Y282" s="46"/>
      <c r="Z282" s="46"/>
      <c r="AA282" s="46"/>
    </row>
    <row r="283">
      <c r="A283" s="55">
        <f>IFERROR(__xludf.DUMMYFUNCTION("""COMPUTED_VALUE"""),44305.544643553236)</f>
        <v>44305.54464</v>
      </c>
      <c r="B283" s="56">
        <f>IFERROR(__xludf.DUMMYFUNCTION("""COMPUTED_VALUE"""),44305.0)</f>
        <v>44305</v>
      </c>
      <c r="C283" s="59" t="str">
        <f t="shared" si="3"/>
        <v/>
      </c>
      <c r="D283" s="46" t="str">
        <f>IFERROR(__xludf.DUMMYFUNCTION("""COMPUTED_VALUE"""),"Tuanva")</f>
        <v>Tuanva</v>
      </c>
      <c r="E283" s="57" t="str">
        <f>IFERROR(__xludf.DUMMYFUNCTION("""COMPUTED_VALUE"""),"56HGL00276")</f>
        <v>56HGL00276</v>
      </c>
      <c r="F283" s="46" t="str">
        <f>IFERROR(__xludf.DUMMYFUNCTION("""COMPUTED_VALUE"""),"Nhà máy Z195, Hợp Châu, Tam Đảo, Vĩnh Phúc")</f>
        <v>Nhà máy Z195, Hợp Châu, Tam Đảo, Vĩnh Phúc</v>
      </c>
      <c r="G283" s="46" t="str">
        <f>IFERROR(__xludf.DUMMYFUNCTION("""COMPUTED_VALUE"""),"Lỗi bptt")</f>
        <v>Lỗi bptt</v>
      </c>
      <c r="H283" s="46"/>
      <c r="I283" s="46" t="str">
        <f>IFERROR(__xludf.DUMMYFUNCTION("""COMPUTED_VALUE"""),"Bảo trì")</f>
        <v>Bảo trì</v>
      </c>
      <c r="J283" s="46" t="str">
        <f>IFERROR(__xludf.DUMMYFUNCTION("""COMPUTED_VALUE"""),"Kiểm tra thì thấy,có keo tại sửa shutter và pre vị trí lỗi 20,tiền kẹt giữa ex và pre. Nguyên nhân.do bank thay hệ thống báo động,bên báo động tháo bộ cũ thay bộ mới,trong quá trình tháo bỏ đã bị văng keo khô vào bptt.")</f>
        <v>Kiểm tra thì thấy,có keo tại sửa shutter và pre vị trí lỗi 20,tiền kẹt giữa ex và pre. Nguyên nhân.do bank thay hệ thống báo động,bên báo động tháo bộ cũ thay bộ mới,trong quá trình tháo bỏ đã bị văng keo khô vào bptt.</v>
      </c>
      <c r="K283" s="46"/>
      <c r="L283" s="46"/>
      <c r="M283" s="46"/>
      <c r="N283" s="46"/>
      <c r="O283" s="46"/>
      <c r="P283" s="46"/>
      <c r="Q283" s="46" t="str">
        <f>IFERROR(__xludf.DUMMYFUNCTION("""COMPUTED_VALUE"""),"Hoàn thành")</f>
        <v>Hoàn thành</v>
      </c>
      <c r="R283" s="46"/>
      <c r="S283" s="46"/>
      <c r="T283" s="46"/>
      <c r="U283" s="46"/>
      <c r="V283" s="46"/>
      <c r="W283" s="46"/>
      <c r="X283" s="46"/>
      <c r="Y283" s="46"/>
      <c r="Z283" s="46"/>
      <c r="AA283" s="46"/>
    </row>
    <row r="284">
      <c r="A284" s="55">
        <f>IFERROR(__xludf.DUMMYFUNCTION("""COMPUTED_VALUE"""),44305.65975153935)</f>
        <v>44305.65975</v>
      </c>
      <c r="B284" s="56">
        <f>IFERROR(__xludf.DUMMYFUNCTION("""COMPUTED_VALUE"""),44305.0)</f>
        <v>44305</v>
      </c>
      <c r="C284" s="59" t="str">
        <f t="shared" si="3"/>
        <v/>
      </c>
      <c r="D284" s="46" t="str">
        <f>IFERROR(__xludf.DUMMYFUNCTION("""COMPUTED_VALUE"""),"Duclb")</f>
        <v>Duclb</v>
      </c>
      <c r="E284" s="57" t="str">
        <f>IFERROR(__xludf.DUMMYFUNCTION("""COMPUTED_VALUE"""),"5300381701")</f>
        <v>5300381701</v>
      </c>
      <c r="F284" s="46" t="str">
        <f>IFERROR(__xludf.DUMMYFUNCTION("""COMPUTED_VALUE"""),"739 Lạc Long Quân, Tây Hồ, Hà Nội")</f>
        <v>739 Lạc Long Quân, Tây Hồ, Hà Nội</v>
      </c>
      <c r="G284" s="46" t="str">
        <f>IFERROR(__xludf.DUMMYFUNCTION("""COMPUTED_VALUE"""),"Lỗi 20")</f>
        <v>Lỗi 20</v>
      </c>
      <c r="H284" s="46"/>
      <c r="I284" s="46"/>
      <c r="J284" s="46" t="str">
        <f>IFERROR(__xludf.DUMMYFUNCTION("""COMPUTED_VALUE"""),"Cạo miếng nhựa đen tầng 50, đổi trục gap tầng 500 sang C")</f>
        <v>Cạo miếng nhựa đen tầng 50, đổi trục gap tầng 500 sang C</v>
      </c>
      <c r="K284" s="46"/>
      <c r="L284" s="46"/>
      <c r="M284" s="46"/>
      <c r="N284" s="46"/>
      <c r="O284" s="46"/>
      <c r="P284" s="46"/>
      <c r="Q284" s="46" t="str">
        <f>IFERROR(__xludf.DUMMYFUNCTION("""COMPUTED_VALUE"""),"Hoàn thành")</f>
        <v>Hoàn thành</v>
      </c>
      <c r="R284" s="46"/>
      <c r="S284" s="46"/>
      <c r="T284" s="46"/>
      <c r="U284" s="46"/>
      <c r="V284" s="46"/>
      <c r="W284" s="46"/>
      <c r="X284" s="46"/>
      <c r="Y284" s="46"/>
      <c r="Z284" s="46"/>
      <c r="AA284" s="46"/>
    </row>
    <row r="285">
      <c r="A285" s="55">
        <f>IFERROR(__xludf.DUMMYFUNCTION("""COMPUTED_VALUE"""),44305.684806805555)</f>
        <v>44305.68481</v>
      </c>
      <c r="B285" s="56">
        <f>IFERROR(__xludf.DUMMYFUNCTION("""COMPUTED_VALUE"""),44305.0)</f>
        <v>44305</v>
      </c>
      <c r="C285" s="59" t="str">
        <f t="shared" si="3"/>
        <v/>
      </c>
      <c r="D285" s="46" t="str">
        <f>IFERROR(__xludf.DUMMYFUNCTION("""COMPUTED_VALUE"""),"Duclb")</f>
        <v>Duclb</v>
      </c>
      <c r="E285" s="57" t="str">
        <f>IFERROR(__xludf.DUMMYFUNCTION("""COMPUTED_VALUE"""),"56HG806319")</f>
        <v>56HG806319</v>
      </c>
      <c r="F285" s="46" t="str">
        <f>IFERROR(__xludf.DUMMYFUNCTION("""COMPUTED_VALUE"""),"Số 126 Hoàng Quốc Việt, Cầu Giấy, Hà Nội")</f>
        <v>Số 126 Hoàng Quốc Việt, Cầu Giấy, Hà Nội</v>
      </c>
      <c r="G285" s="46" t="str">
        <f>IFERROR(__xludf.DUMMYFUNCTION("""COMPUTED_VALUE"""),"Lỗi 28")</f>
        <v>Lỗi 28</v>
      </c>
      <c r="H285" s="46"/>
      <c r="I285" s="46"/>
      <c r="J285" s="46" t="str">
        <f>IFERROR(__xludf.DUMMYFUNCTION("""COMPUTED_VALUE"""),"Kiểm tra, vệ sinh")</f>
        <v>Kiểm tra, vệ sinh</v>
      </c>
      <c r="K285" s="46"/>
      <c r="L285" s="46"/>
      <c r="M285" s="46"/>
      <c r="N285" s="46"/>
      <c r="O285" s="46"/>
      <c r="P285" s="46"/>
      <c r="Q285" s="46" t="str">
        <f>IFERROR(__xludf.DUMMYFUNCTION("""COMPUTED_VALUE"""),"Không hoàn thành")</f>
        <v>Không hoàn thành</v>
      </c>
      <c r="R285" s="46" t="str">
        <f>IFERROR(__xludf.DUMMYFUNCTION("""COMPUTED_VALUE"""),"Lỗi bo, không có đồ")</f>
        <v>Lỗi bo, không có đồ</v>
      </c>
      <c r="S285" s="46"/>
      <c r="T285" s="46"/>
      <c r="U285" s="46"/>
      <c r="V285" s="46"/>
      <c r="W285" s="46"/>
      <c r="X285" s="46"/>
      <c r="Y285" s="46"/>
      <c r="Z285" s="46"/>
      <c r="AA285" s="46"/>
    </row>
    <row r="286">
      <c r="A286" s="55">
        <f>IFERROR(__xludf.DUMMYFUNCTION("""COMPUTED_VALUE"""),44305.77459594907)</f>
        <v>44305.7746</v>
      </c>
      <c r="B286" s="56">
        <f>IFERROR(__xludf.DUMMYFUNCTION("""COMPUTED_VALUE"""),44305.0)</f>
        <v>44305</v>
      </c>
      <c r="C286" s="59" t="str">
        <f t="shared" si="3"/>
        <v/>
      </c>
      <c r="D286" s="46" t="str">
        <f>IFERROR(__xludf.DUMMYFUNCTION("""COMPUTED_VALUE"""),"Bannt")</f>
        <v>Bannt</v>
      </c>
      <c r="E286" s="57" t="str">
        <f>IFERROR(__xludf.DUMMYFUNCTION("""COMPUTED_VALUE"""),"56HGL03522")</f>
        <v>56HGL03522</v>
      </c>
      <c r="F286" s="46" t="str">
        <f>IFERROR(__xludf.DUMMYFUNCTION("""COMPUTED_VALUE"""),"Khu công nghiệp Bảo Minh, Bắc Lương, Cát Thành, Nam Định")</f>
        <v>Khu công nghiệp Bảo Minh, Bắc Lương, Cát Thành, Nam Định</v>
      </c>
      <c r="G286" s="46" t="str">
        <f>IFERROR(__xludf.DUMMYFUNCTION("""COMPUTED_VALUE"""),"Lỗi máy in, bảo trì")</f>
        <v>Lỗi máy in, bảo trì</v>
      </c>
      <c r="H286" s="46"/>
      <c r="I286" s="46" t="str">
        <f>IFERROR(__xludf.DUMMYFUNCTION("""COMPUTED_VALUE"""),"Bảo trì")</f>
        <v>Bảo trì</v>
      </c>
      <c r="J286" s="46" t="str">
        <f>IFERROR(__xludf.DUMMYFUNCTION("""COMPUTED_VALUE"""),"Vệ sinh lại đầu ra máy in")</f>
        <v>Vệ sinh lại đầu ra máy in</v>
      </c>
      <c r="K286" s="46"/>
      <c r="L286" s="46"/>
      <c r="M286" s="46"/>
      <c r="N286" s="46"/>
      <c r="O286" s="46"/>
      <c r="P286" s="46"/>
      <c r="Q286" s="46" t="str">
        <f>IFERROR(__xludf.DUMMYFUNCTION("""COMPUTED_VALUE"""),"Hoàn thành")</f>
        <v>Hoàn thành</v>
      </c>
      <c r="R286" s="46"/>
      <c r="S286" s="46"/>
      <c r="T286" s="46"/>
      <c r="U286" s="46"/>
      <c r="V286" s="46"/>
      <c r="W286" s="46"/>
      <c r="X286" s="46"/>
      <c r="Y286" s="46"/>
      <c r="Z286" s="46"/>
      <c r="AA286" s="46"/>
    </row>
    <row r="287">
      <c r="A287" s="55">
        <f>IFERROR(__xludf.DUMMYFUNCTION("""COMPUTED_VALUE"""),44305.775634687496)</f>
        <v>44305.77563</v>
      </c>
      <c r="B287" s="56">
        <f>IFERROR(__xludf.DUMMYFUNCTION("""COMPUTED_VALUE"""),44305.0)</f>
        <v>44305</v>
      </c>
      <c r="C287" s="59" t="str">
        <f t="shared" si="3"/>
        <v/>
      </c>
      <c r="D287" s="46" t="str">
        <f>IFERROR(__xludf.DUMMYFUNCTION("""COMPUTED_VALUE"""),"Bannt")</f>
        <v>Bannt</v>
      </c>
      <c r="E287" s="57" t="str">
        <f>IFERROR(__xludf.DUMMYFUNCTION("""COMPUTED_VALUE"""),"56HG707951")</f>
        <v>56HG707951</v>
      </c>
      <c r="F287" s="46" t="str">
        <f>IFERROR(__xludf.DUMMYFUNCTION("""COMPUTED_VALUE"""),"Lô 1, Khu CN Hòa Xá, TP Nam Định, Tỉnh Nam Định")</f>
        <v>Lô 1, Khu CN Hòa Xá, TP Nam Định, Tỉnh Nam Định</v>
      </c>
      <c r="G287" s="46" t="str">
        <f>IFERROR(__xludf.DUMMYFUNCTION("""COMPUTED_VALUE"""),"Lỗi máy in, rác nhiều")</f>
        <v>Lỗi máy in, rác nhiều</v>
      </c>
      <c r="H287" s="46"/>
      <c r="I287" s="46" t="str">
        <f>IFERROR(__xludf.DUMMYFUNCTION("""COMPUTED_VALUE"""),"Bảo trì")</f>
        <v>Bảo trì</v>
      </c>
      <c r="J287" s="46" t="str">
        <f>IFERROR(__xludf.DUMMYFUNCTION("""COMPUTED_VALUE"""),"Vệ sinh cao su bị chảy tại máy in biên lai, học lại tiền")</f>
        <v>Vệ sinh cao su bị chảy tại máy in biên lai, học lại tiền</v>
      </c>
      <c r="K287" s="46"/>
      <c r="L287" s="46"/>
      <c r="M287" s="46"/>
      <c r="N287" s="46"/>
      <c r="O287" s="46"/>
      <c r="P287" s="46"/>
      <c r="Q287" s="46" t="str">
        <f>IFERROR(__xludf.DUMMYFUNCTION("""COMPUTED_VALUE"""),"Hoàn thành")</f>
        <v>Hoàn thành</v>
      </c>
      <c r="R287" s="46"/>
      <c r="S287" s="46"/>
      <c r="T287" s="46"/>
      <c r="U287" s="46"/>
      <c r="V287" s="46"/>
      <c r="W287" s="46"/>
      <c r="X287" s="46"/>
      <c r="Y287" s="46"/>
      <c r="Z287" s="46"/>
      <c r="AA287" s="46"/>
    </row>
    <row r="288">
      <c r="A288" s="55">
        <f>IFERROR(__xludf.DUMMYFUNCTION("""COMPUTED_VALUE"""),44305.779138530095)</f>
        <v>44305.77914</v>
      </c>
      <c r="B288" s="56">
        <f>IFERROR(__xludf.DUMMYFUNCTION("""COMPUTED_VALUE"""),44270.0)</f>
        <v>44270</v>
      </c>
      <c r="C288" s="59" t="str">
        <f t="shared" si="3"/>
        <v>Báo cáo muộn</v>
      </c>
      <c r="D288" s="46" t="str">
        <f>IFERROR(__xludf.DUMMYFUNCTION("""COMPUTED_VALUE"""),"Bannt")</f>
        <v>Bannt</v>
      </c>
      <c r="E288" s="57" t="str">
        <f>IFERROR(__xludf.DUMMYFUNCTION("""COMPUTED_VALUE"""),"5310107028")</f>
        <v>5310107028</v>
      </c>
      <c r="F288" s="46" t="str">
        <f>IFERROR(__xludf.DUMMYFUNCTION("""COMPUTED_VALUE"""),"Số 43 đường Đinh Tiên Hoàng, TP. Yên Bái")</f>
        <v>Số 43 đường Đinh Tiên Hoàng, TP. Yên Bái</v>
      </c>
      <c r="G288" s="46" t="str">
        <f>IFERROR(__xludf.DUMMYFUNCTION("""COMPUTED_VALUE"""),"Bảo trì định kỳ")</f>
        <v>Bảo trì định kỳ</v>
      </c>
      <c r="H288" s="46"/>
      <c r="I288" s="46" t="str">
        <f>IFERROR(__xludf.DUMMYFUNCTION("""COMPUTED_VALUE"""),"Bảo trì")</f>
        <v>Bảo trì</v>
      </c>
      <c r="J288" s="46"/>
      <c r="K288" s="46"/>
      <c r="L288" s="46"/>
      <c r="M288" s="46"/>
      <c r="N288" s="46"/>
      <c r="O288" s="46"/>
      <c r="P288" s="46"/>
      <c r="Q288" s="46" t="str">
        <f>IFERROR(__xludf.DUMMYFUNCTION("""COMPUTED_VALUE"""),"Hoàn thành")</f>
        <v>Hoàn thành</v>
      </c>
      <c r="R288" s="46"/>
      <c r="S288" s="46"/>
      <c r="T288" s="46"/>
      <c r="U288" s="46"/>
      <c r="V288" s="46"/>
      <c r="W288" s="46"/>
      <c r="X288" s="46"/>
      <c r="Y288" s="46"/>
      <c r="Z288" s="46"/>
      <c r="AA288" s="46"/>
    </row>
    <row r="289">
      <c r="A289" s="55">
        <f>IFERROR(__xludf.DUMMYFUNCTION("""COMPUTED_VALUE"""),44305.77981172454)</f>
        <v>44305.77981</v>
      </c>
      <c r="B289" s="56">
        <f>IFERROR(__xludf.DUMMYFUNCTION("""COMPUTED_VALUE"""),44271.0)</f>
        <v>44271</v>
      </c>
      <c r="C289" s="59" t="str">
        <f t="shared" si="3"/>
        <v>Báo cáo muộn</v>
      </c>
      <c r="D289" s="46" t="str">
        <f>IFERROR(__xludf.DUMMYFUNCTION("""COMPUTED_VALUE"""),"Bannt")</f>
        <v>Bannt</v>
      </c>
      <c r="E289" s="57" t="str">
        <f>IFERROR(__xludf.DUMMYFUNCTION("""COMPUTED_VALUE"""),"5310183028")</f>
        <v>5310183028</v>
      </c>
      <c r="F289" s="46" t="str">
        <f>IFERROR(__xludf.DUMMYFUNCTION("""COMPUTED_VALUE"""),"Số 43 đường Đinh Tiên Hoàng, phường Đồng Tâm, TP Yên Bái")</f>
        <v>Số 43 đường Đinh Tiên Hoàng, phường Đồng Tâm, TP Yên Bái</v>
      </c>
      <c r="G289" s="46" t="str">
        <f>IFERROR(__xludf.DUMMYFUNCTION("""COMPUTED_VALUE"""),"Bảo trì định kỳ")</f>
        <v>Bảo trì định kỳ</v>
      </c>
      <c r="H289" s="46"/>
      <c r="I289" s="46" t="str">
        <f>IFERROR(__xludf.DUMMYFUNCTION("""COMPUTED_VALUE"""),"Bảo trì")</f>
        <v>Bảo trì</v>
      </c>
      <c r="J289" s="46"/>
      <c r="K289" s="46"/>
      <c r="L289" s="46"/>
      <c r="M289" s="46"/>
      <c r="N289" s="46"/>
      <c r="O289" s="46"/>
      <c r="P289" s="46"/>
      <c r="Q289" s="46" t="str">
        <f>IFERROR(__xludf.DUMMYFUNCTION("""COMPUTED_VALUE"""),"Hoàn thành")</f>
        <v>Hoàn thành</v>
      </c>
      <c r="R289" s="46"/>
      <c r="S289" s="46"/>
      <c r="T289" s="46"/>
      <c r="U289" s="46"/>
      <c r="V289" s="46"/>
      <c r="W289" s="46"/>
      <c r="X289" s="46"/>
      <c r="Y289" s="46"/>
      <c r="Z289" s="46"/>
      <c r="AA289" s="46"/>
    </row>
    <row r="290">
      <c r="A290" s="55">
        <f>IFERROR(__xludf.DUMMYFUNCTION("""COMPUTED_VALUE"""),44305.780345879626)</f>
        <v>44305.78035</v>
      </c>
      <c r="B290" s="56">
        <f>IFERROR(__xludf.DUMMYFUNCTION("""COMPUTED_VALUE"""),44272.0)</f>
        <v>44272</v>
      </c>
      <c r="C290" s="59" t="str">
        <f t="shared" si="3"/>
        <v>Báo cáo muộn</v>
      </c>
      <c r="D290" s="46" t="str">
        <f>IFERROR(__xludf.DUMMYFUNCTION("""COMPUTED_VALUE"""),"Bannt")</f>
        <v>Bannt</v>
      </c>
      <c r="E290" s="57" t="str">
        <f>IFERROR(__xludf.DUMMYFUNCTION("""COMPUTED_VALUE"""),"5300381470")</f>
        <v>5300381470</v>
      </c>
      <c r="F290" s="46" t="str">
        <f>IFERROR(__xludf.DUMMYFUNCTION("""COMPUTED_VALUE"""),"Tổ 25, P. Tân An, Đường Điện Biên, TX. Nghĩa Lộ")</f>
        <v>Tổ 25, P. Tân An, Đường Điện Biên, TX. Nghĩa Lộ</v>
      </c>
      <c r="G290" s="46" t="str">
        <f>IFERROR(__xludf.DUMMYFUNCTION("""COMPUTED_VALUE"""),"Bảo trì định kỳ")</f>
        <v>Bảo trì định kỳ</v>
      </c>
      <c r="H290" s="46"/>
      <c r="I290" s="46" t="str">
        <f>IFERROR(__xludf.DUMMYFUNCTION("""COMPUTED_VALUE"""),"Bảo trì")</f>
        <v>Bảo trì</v>
      </c>
      <c r="J290" s="46"/>
      <c r="K290" s="46"/>
      <c r="L290" s="46"/>
      <c r="M290" s="46"/>
      <c r="N290" s="46"/>
      <c r="O290" s="46"/>
      <c r="P290" s="46"/>
      <c r="Q290" s="46" t="str">
        <f>IFERROR(__xludf.DUMMYFUNCTION("""COMPUTED_VALUE"""),"Hoàn thành")</f>
        <v>Hoàn thành</v>
      </c>
      <c r="R290" s="46"/>
      <c r="S290" s="46"/>
      <c r="T290" s="46"/>
      <c r="U290" s="46"/>
      <c r="V290" s="46"/>
      <c r="W290" s="46"/>
      <c r="X290" s="46"/>
      <c r="Y290" s="46"/>
      <c r="Z290" s="46"/>
      <c r="AA290" s="46"/>
    </row>
    <row r="291">
      <c r="A291" s="55">
        <f>IFERROR(__xludf.DUMMYFUNCTION("""COMPUTED_VALUE"""),44305.780743298616)</f>
        <v>44305.78074</v>
      </c>
      <c r="B291" s="56">
        <f>IFERROR(__xludf.DUMMYFUNCTION("""COMPUTED_VALUE"""),44273.0)</f>
        <v>44273</v>
      </c>
      <c r="C291" s="59" t="str">
        <f t="shared" si="3"/>
        <v>Báo cáo muộn</v>
      </c>
      <c r="D291" s="46" t="str">
        <f>IFERROR(__xludf.DUMMYFUNCTION("""COMPUTED_VALUE"""),"Bannt")</f>
        <v>Bannt</v>
      </c>
      <c r="E291" s="57" t="str">
        <f>IFERROR(__xludf.DUMMYFUNCTION("""COMPUTED_VALUE"""),"5300380019")</f>
        <v>5300380019</v>
      </c>
      <c r="F291" s="46" t="str">
        <f>IFERROR(__xludf.DUMMYFUNCTION("""COMPUTED_VALUE"""),"Thị trấn Than Uyên, Lai Châu")</f>
        <v>Thị trấn Than Uyên, Lai Châu</v>
      </c>
      <c r="G291" s="46" t="str">
        <f>IFERROR(__xludf.DUMMYFUNCTION("""COMPUTED_VALUE"""),"Bảo trì định kỳ")</f>
        <v>Bảo trì định kỳ</v>
      </c>
      <c r="H291" s="46"/>
      <c r="I291" s="46" t="str">
        <f>IFERROR(__xludf.DUMMYFUNCTION("""COMPUTED_VALUE"""),"Bảo trì")</f>
        <v>Bảo trì</v>
      </c>
      <c r="J291" s="46"/>
      <c r="K291" s="46"/>
      <c r="L291" s="46"/>
      <c r="M291" s="46"/>
      <c r="N291" s="46"/>
      <c r="O291" s="46"/>
      <c r="P291" s="46"/>
      <c r="Q291" s="46" t="str">
        <f>IFERROR(__xludf.DUMMYFUNCTION("""COMPUTED_VALUE"""),"Hoàn thành")</f>
        <v>Hoàn thành</v>
      </c>
      <c r="R291" s="46"/>
      <c r="S291" s="46"/>
      <c r="T291" s="46"/>
      <c r="U291" s="46"/>
      <c r="V291" s="46"/>
      <c r="W291" s="46"/>
      <c r="X291" s="46"/>
      <c r="Y291" s="46"/>
      <c r="Z291" s="46"/>
      <c r="AA291" s="46"/>
    </row>
    <row r="292">
      <c r="A292" s="55">
        <f>IFERROR(__xludf.DUMMYFUNCTION("""COMPUTED_VALUE"""),44305.78107327546)</f>
        <v>44305.78107</v>
      </c>
      <c r="B292" s="56">
        <f>IFERROR(__xludf.DUMMYFUNCTION("""COMPUTED_VALUE"""),44274.0)</f>
        <v>44274</v>
      </c>
      <c r="C292" s="59" t="str">
        <f t="shared" si="3"/>
        <v>Báo cáo muộn</v>
      </c>
      <c r="D292" s="46" t="str">
        <f>IFERROR(__xludf.DUMMYFUNCTION("""COMPUTED_VALUE"""),"Bannt")</f>
        <v>Bannt</v>
      </c>
      <c r="E292" s="57" t="str">
        <f>IFERROR(__xludf.DUMMYFUNCTION("""COMPUTED_VALUE"""),"5300381749")</f>
        <v>5300381749</v>
      </c>
      <c r="F292" s="46" t="str">
        <f>IFERROR(__xludf.DUMMYFUNCTION("""COMPUTED_VALUE"""),"Thị trấn Phong Thổ, Lai Châu")</f>
        <v>Thị trấn Phong Thổ, Lai Châu</v>
      </c>
      <c r="G292" s="46" t="str">
        <f>IFERROR(__xludf.DUMMYFUNCTION("""COMPUTED_VALUE"""),"Bảo trì định kỳ")</f>
        <v>Bảo trì định kỳ</v>
      </c>
      <c r="H292" s="46"/>
      <c r="I292" s="46" t="str">
        <f>IFERROR(__xludf.DUMMYFUNCTION("""COMPUTED_VALUE"""),"Bảo trì")</f>
        <v>Bảo trì</v>
      </c>
      <c r="J292" s="46"/>
      <c r="K292" s="46"/>
      <c r="L292" s="46"/>
      <c r="M292" s="46"/>
      <c r="N292" s="46"/>
      <c r="O292" s="46"/>
      <c r="P292" s="46"/>
      <c r="Q292" s="46" t="str">
        <f>IFERROR(__xludf.DUMMYFUNCTION("""COMPUTED_VALUE"""),"Hoàn thành")</f>
        <v>Hoàn thành</v>
      </c>
      <c r="R292" s="46"/>
      <c r="S292" s="46"/>
      <c r="T292" s="46"/>
      <c r="U292" s="46"/>
      <c r="V292" s="46"/>
      <c r="W292" s="46"/>
      <c r="X292" s="46"/>
      <c r="Y292" s="46"/>
      <c r="Z292" s="46"/>
      <c r="AA292" s="46"/>
    </row>
    <row r="293">
      <c r="A293" s="55">
        <f>IFERROR(__xludf.DUMMYFUNCTION("""COMPUTED_VALUE"""),44305.781534837966)</f>
        <v>44305.78153</v>
      </c>
      <c r="B293" s="56">
        <f>IFERROR(__xludf.DUMMYFUNCTION("""COMPUTED_VALUE"""),44275.0)</f>
        <v>44275</v>
      </c>
      <c r="C293" s="59" t="str">
        <f t="shared" si="3"/>
        <v>Báo cáo muộn</v>
      </c>
      <c r="D293" s="46" t="str">
        <f>IFERROR(__xludf.DUMMYFUNCTION("""COMPUTED_VALUE"""),"Bannt")</f>
        <v>Bannt</v>
      </c>
      <c r="E293" s="57" t="str">
        <f>IFERROR(__xludf.DUMMYFUNCTION("""COMPUTED_VALUE"""),"5300380928")</f>
        <v>5300380928</v>
      </c>
      <c r="F293" s="46" t="str">
        <f>IFERROR(__xludf.DUMMYFUNCTION("""COMPUTED_VALUE"""),"Nhà Khách Sa Pa, Đường Ngũ Chỉ Sơn, Thị trấn Sa Pa")</f>
        <v>Nhà Khách Sa Pa, Đường Ngũ Chỉ Sơn, Thị trấn Sa Pa</v>
      </c>
      <c r="G293" s="46" t="str">
        <f>IFERROR(__xludf.DUMMYFUNCTION("""COMPUTED_VALUE"""),"Bảo trì định kỳ")</f>
        <v>Bảo trì định kỳ</v>
      </c>
      <c r="H293" s="46"/>
      <c r="I293" s="46" t="str">
        <f>IFERROR(__xludf.DUMMYFUNCTION("""COMPUTED_VALUE"""),"Bảo trì")</f>
        <v>Bảo trì</v>
      </c>
      <c r="J293" s="46"/>
      <c r="K293" s="46"/>
      <c r="L293" s="46"/>
      <c r="M293" s="46"/>
      <c r="N293" s="46"/>
      <c r="O293" s="46"/>
      <c r="P293" s="46"/>
      <c r="Q293" s="46" t="str">
        <f>IFERROR(__xludf.DUMMYFUNCTION("""COMPUTED_VALUE"""),"Hoàn thành")</f>
        <v>Hoàn thành</v>
      </c>
      <c r="R293" s="46"/>
      <c r="S293" s="46"/>
      <c r="T293" s="46"/>
      <c r="U293" s="46"/>
      <c r="V293" s="46"/>
      <c r="W293" s="46"/>
      <c r="X293" s="46"/>
      <c r="Y293" s="46"/>
      <c r="Z293" s="46"/>
      <c r="AA293" s="46"/>
    </row>
    <row r="294">
      <c r="A294" s="55">
        <f>IFERROR(__xludf.DUMMYFUNCTION("""COMPUTED_VALUE"""),44305.78281399306)</f>
        <v>44305.78281</v>
      </c>
      <c r="B294" s="56">
        <f>IFERROR(__xludf.DUMMYFUNCTION("""COMPUTED_VALUE"""),44277.0)</f>
        <v>44277</v>
      </c>
      <c r="C294" s="59" t="str">
        <f t="shared" si="3"/>
        <v>Báo cáo muộn</v>
      </c>
      <c r="D294" s="46" t="str">
        <f>IFERROR(__xludf.DUMMYFUNCTION("""COMPUTED_VALUE"""),"Bannt")</f>
        <v>Bannt</v>
      </c>
      <c r="E294" s="57" t="str">
        <f>IFERROR(__xludf.DUMMYFUNCTION("""COMPUTED_VALUE"""),"5310107313")</f>
        <v>5310107313</v>
      </c>
      <c r="F294" s="46" t="str">
        <f>IFERROR(__xludf.DUMMYFUNCTION("""COMPUTED_VALUE"""),"Số 288 đường Giải Phóng, thị trấn Mường Khương, huyện Mường Khương, Lào Cai")</f>
        <v>Số 288 đường Giải Phóng, thị trấn Mường Khương, huyện Mường Khương, Lào Cai</v>
      </c>
      <c r="G294" s="46" t="str">
        <f>IFERROR(__xludf.DUMMYFUNCTION("""COMPUTED_VALUE"""),"Bảo trì định kỳ")</f>
        <v>Bảo trì định kỳ</v>
      </c>
      <c r="H294" s="46"/>
      <c r="I294" s="46" t="str">
        <f>IFERROR(__xludf.DUMMYFUNCTION("""COMPUTED_VALUE"""),"Bảo trì")</f>
        <v>Bảo trì</v>
      </c>
      <c r="J294" s="46"/>
      <c r="K294" s="46"/>
      <c r="L294" s="46"/>
      <c r="M294" s="46"/>
      <c r="N294" s="46"/>
      <c r="O294" s="46"/>
      <c r="P294" s="46"/>
      <c r="Q294" s="46" t="str">
        <f>IFERROR(__xludf.DUMMYFUNCTION("""COMPUTED_VALUE"""),"Hoàn thành")</f>
        <v>Hoàn thành</v>
      </c>
      <c r="R294" s="46"/>
      <c r="S294" s="46"/>
      <c r="T294" s="46"/>
      <c r="U294" s="46"/>
      <c r="V294" s="46"/>
      <c r="W294" s="46"/>
      <c r="X294" s="46"/>
      <c r="Y294" s="46"/>
      <c r="Z294" s="46"/>
      <c r="AA294" s="46"/>
    </row>
    <row r="295">
      <c r="A295" s="55">
        <f>IFERROR(__xludf.DUMMYFUNCTION("""COMPUTED_VALUE"""),44305.78320292824)</f>
        <v>44305.7832</v>
      </c>
      <c r="B295" s="56">
        <f>IFERROR(__xludf.DUMMYFUNCTION("""COMPUTED_VALUE"""),44309.0)</f>
        <v>44309</v>
      </c>
      <c r="C295" s="59" t="str">
        <f t="shared" si="3"/>
        <v/>
      </c>
      <c r="D295" s="46" t="str">
        <f>IFERROR(__xludf.DUMMYFUNCTION("""COMPUTED_VALUE"""),"Bannt")</f>
        <v>Bannt</v>
      </c>
      <c r="E295" s="57" t="str">
        <f>IFERROR(__xludf.DUMMYFUNCTION("""COMPUTED_VALUE"""),"5300381738")</f>
        <v>5300381738</v>
      </c>
      <c r="F295" s="46" t="str">
        <f>IFERROR(__xludf.DUMMYFUNCTION("""COMPUTED_VALUE"""),"70 đường 19 tháng 5 - Thị trấn Phố Lu")</f>
        <v>70 đường 19 tháng 5 - Thị trấn Phố Lu</v>
      </c>
      <c r="G295" s="46" t="str">
        <f>IFERROR(__xludf.DUMMYFUNCTION("""COMPUTED_VALUE"""),"Bảo trì định kỳ")</f>
        <v>Bảo trì định kỳ</v>
      </c>
      <c r="H295" s="46"/>
      <c r="I295" s="46" t="str">
        <f>IFERROR(__xludf.DUMMYFUNCTION("""COMPUTED_VALUE"""),"Bảo trì")</f>
        <v>Bảo trì</v>
      </c>
      <c r="J295" s="46"/>
      <c r="K295" s="46"/>
      <c r="L295" s="46"/>
      <c r="M295" s="46"/>
      <c r="N295" s="46"/>
      <c r="O295" s="46"/>
      <c r="P295" s="46"/>
      <c r="Q295" s="46" t="str">
        <f>IFERROR(__xludf.DUMMYFUNCTION("""COMPUTED_VALUE"""),"Hoàn thành")</f>
        <v>Hoàn thành</v>
      </c>
      <c r="R295" s="46"/>
      <c r="S295" s="46"/>
      <c r="T295" s="46"/>
      <c r="U295" s="46"/>
      <c r="V295" s="46"/>
      <c r="W295" s="46"/>
      <c r="X295" s="46"/>
      <c r="Y295" s="46"/>
      <c r="Z295" s="46"/>
      <c r="AA295" s="46"/>
    </row>
    <row r="296">
      <c r="A296" s="55">
        <f>IFERROR(__xludf.DUMMYFUNCTION("""COMPUTED_VALUE"""),44305.78353407407)</f>
        <v>44305.78353</v>
      </c>
      <c r="B296" s="56">
        <f>IFERROR(__xludf.DUMMYFUNCTION("""COMPUTED_VALUE"""),44310.0)</f>
        <v>44310</v>
      </c>
      <c r="C296" s="59" t="str">
        <f t="shared" si="3"/>
        <v/>
      </c>
      <c r="D296" s="46" t="str">
        <f>IFERROR(__xludf.DUMMYFUNCTION("""COMPUTED_VALUE"""),"Bannt")</f>
        <v>Bannt</v>
      </c>
      <c r="E296" s="57" t="str">
        <f>IFERROR(__xludf.DUMMYFUNCTION("""COMPUTED_VALUE"""),"5310107225")</f>
        <v>5310107225</v>
      </c>
      <c r="F296" s="46" t="str">
        <f>IFERROR(__xludf.DUMMYFUNCTION("""COMPUTED_VALUE"""),"Số 70 đường 19-5 thị trấn Phố Lu, huyện Bảo Thắng, Lào Cai")</f>
        <v>Số 70 đường 19-5 thị trấn Phố Lu, huyện Bảo Thắng, Lào Cai</v>
      </c>
      <c r="G296" s="46" t="str">
        <f>IFERROR(__xludf.DUMMYFUNCTION("""COMPUTED_VALUE"""),"Bảo trì định kỳ")</f>
        <v>Bảo trì định kỳ</v>
      </c>
      <c r="H296" s="46"/>
      <c r="I296" s="46" t="str">
        <f>IFERROR(__xludf.DUMMYFUNCTION("""COMPUTED_VALUE"""),"Bảo trì")</f>
        <v>Bảo trì</v>
      </c>
      <c r="J296" s="46"/>
      <c r="K296" s="46"/>
      <c r="L296" s="46"/>
      <c r="M296" s="46"/>
      <c r="N296" s="46"/>
      <c r="O296" s="46"/>
      <c r="P296" s="46"/>
      <c r="Q296" s="46" t="str">
        <f>IFERROR(__xludf.DUMMYFUNCTION("""COMPUTED_VALUE"""),"Hoàn thành")</f>
        <v>Hoàn thành</v>
      </c>
      <c r="R296" s="46"/>
      <c r="S296" s="46"/>
      <c r="T296" s="46"/>
      <c r="U296" s="46"/>
      <c r="V296" s="46"/>
      <c r="W296" s="46"/>
      <c r="X296" s="46"/>
      <c r="Y296" s="46"/>
      <c r="Z296" s="46"/>
      <c r="AA296" s="46"/>
    </row>
    <row r="297">
      <c r="A297" s="55">
        <f>IFERROR(__xludf.DUMMYFUNCTION("""COMPUTED_VALUE"""),44305.78387262732)</f>
        <v>44305.78387</v>
      </c>
      <c r="B297" s="56">
        <f>IFERROR(__xludf.DUMMYFUNCTION("""COMPUTED_VALUE"""),44280.0)</f>
        <v>44280</v>
      </c>
      <c r="C297" s="59" t="str">
        <f t="shared" si="3"/>
        <v>Báo cáo muộn</v>
      </c>
      <c r="D297" s="46" t="str">
        <f>IFERROR(__xludf.DUMMYFUNCTION("""COMPUTED_VALUE"""),"Bannt")</f>
        <v>Bannt</v>
      </c>
      <c r="E297" s="57" t="str">
        <f>IFERROR(__xludf.DUMMYFUNCTION("""COMPUTED_VALUE"""),"5310107039")</f>
        <v>5310107039</v>
      </c>
      <c r="F297" s="46" t="str">
        <f>IFERROR(__xludf.DUMMYFUNCTION("""COMPUTED_VALUE"""),"Số 96 đường Võ Nguyên Giáp, TT Phố Ràng, H. Bảo Yên, Lào Cai")</f>
        <v>Số 96 đường Võ Nguyên Giáp, TT Phố Ràng, H. Bảo Yên, Lào Cai</v>
      </c>
      <c r="G297" s="46" t="str">
        <f>IFERROR(__xludf.DUMMYFUNCTION("""COMPUTED_VALUE"""),"Bảo trì định kỳ")</f>
        <v>Bảo trì định kỳ</v>
      </c>
      <c r="H297" s="46"/>
      <c r="I297" s="46" t="str">
        <f>IFERROR(__xludf.DUMMYFUNCTION("""COMPUTED_VALUE"""),"Bảo trì")</f>
        <v>Bảo trì</v>
      </c>
      <c r="J297" s="46"/>
      <c r="K297" s="46"/>
      <c r="L297" s="46"/>
      <c r="M297" s="46"/>
      <c r="N297" s="46"/>
      <c r="O297" s="46"/>
      <c r="P297" s="46"/>
      <c r="Q297" s="46" t="str">
        <f>IFERROR(__xludf.DUMMYFUNCTION("""COMPUTED_VALUE"""),"Hoàn thành")</f>
        <v>Hoàn thành</v>
      </c>
      <c r="R297" s="46"/>
      <c r="S297" s="46"/>
      <c r="T297" s="46"/>
      <c r="U297" s="46"/>
      <c r="V297" s="46"/>
      <c r="W297" s="46"/>
      <c r="X297" s="46"/>
      <c r="Y297" s="46"/>
      <c r="Z297" s="46"/>
      <c r="AA297" s="46"/>
    </row>
    <row r="298">
      <c r="A298" s="55">
        <f>IFERROR(__xludf.DUMMYFUNCTION("""COMPUTED_VALUE"""),44305.78498759259)</f>
        <v>44305.78499</v>
      </c>
      <c r="B298" s="56">
        <f>IFERROR(__xludf.DUMMYFUNCTION("""COMPUTED_VALUE"""),44284.0)</f>
        <v>44284</v>
      </c>
      <c r="C298" s="59" t="str">
        <f t="shared" si="3"/>
        <v>Báo cáo muộn</v>
      </c>
      <c r="D298" s="46" t="str">
        <f>IFERROR(__xludf.DUMMYFUNCTION("""COMPUTED_VALUE"""),"Bannt")</f>
        <v>Bannt</v>
      </c>
      <c r="E298" s="57" t="str">
        <f>IFERROR(__xludf.DUMMYFUNCTION("""COMPUTED_VALUE"""),"5300380550")</f>
        <v>5300380550</v>
      </c>
      <c r="F298" s="46" t="str">
        <f>IFERROR(__xludf.DUMMYFUNCTION("""COMPUTED_VALUE"""),"Tầng 1,2,3 Tòa Diamond Flower Tower - 48 Lê Văn Lương, Thanh Xuân, Hà Nội")</f>
        <v>Tầng 1,2,3 Tòa Diamond Flower Tower - 48 Lê Văn Lương, Thanh Xuân, Hà Nội</v>
      </c>
      <c r="G298" s="46" t="str">
        <f>IFERROR(__xludf.DUMMYFUNCTION("""COMPUTED_VALUE"""),"Bảo trì định kỳ")</f>
        <v>Bảo trì định kỳ</v>
      </c>
      <c r="H298" s="46"/>
      <c r="I298" s="46" t="str">
        <f>IFERROR(__xludf.DUMMYFUNCTION("""COMPUTED_VALUE"""),"Bảo trì")</f>
        <v>Bảo trì</v>
      </c>
      <c r="J298" s="46"/>
      <c r="K298" s="46"/>
      <c r="L298" s="46"/>
      <c r="M298" s="46"/>
      <c r="N298" s="46"/>
      <c r="O298" s="46"/>
      <c r="P298" s="46"/>
      <c r="Q298" s="46" t="str">
        <f>IFERROR(__xludf.DUMMYFUNCTION("""COMPUTED_VALUE"""),"Hoàn thành")</f>
        <v>Hoàn thành</v>
      </c>
      <c r="R298" s="46"/>
      <c r="S298" s="46"/>
      <c r="T298" s="46"/>
      <c r="U298" s="46"/>
      <c r="V298" s="46"/>
      <c r="W298" s="46"/>
      <c r="X298" s="46"/>
      <c r="Y298" s="46"/>
      <c r="Z298" s="46"/>
      <c r="AA298" s="46"/>
    </row>
    <row r="299">
      <c r="A299" s="55">
        <f>IFERROR(__xludf.DUMMYFUNCTION("""COMPUTED_VALUE"""),44305.78551465277)</f>
        <v>44305.78551</v>
      </c>
      <c r="B299" s="56">
        <f>IFERROR(__xludf.DUMMYFUNCTION("""COMPUTED_VALUE"""),44284.0)</f>
        <v>44284</v>
      </c>
      <c r="C299" s="59" t="str">
        <f t="shared" si="3"/>
        <v>Báo cáo muộn</v>
      </c>
      <c r="D299" s="46" t="str">
        <f>IFERROR(__xludf.DUMMYFUNCTION("""COMPUTED_VALUE"""),"Bannt")</f>
        <v>Bannt</v>
      </c>
      <c r="E299" s="57" t="str">
        <f>IFERROR(__xludf.DUMMYFUNCTION("""COMPUTED_VALUE"""),"5300378191")</f>
        <v>5300378191</v>
      </c>
      <c r="F299" s="46" t="str">
        <f>IFERROR(__xludf.DUMMYFUNCTION("""COMPUTED_VALUE"""),"Tầng 1,2,3 Tòa Diamond Flower Tower - 48 Lê Văn Lương, Thanh Xuân, Hà Nội")</f>
        <v>Tầng 1,2,3 Tòa Diamond Flower Tower - 48 Lê Văn Lương, Thanh Xuân, Hà Nội</v>
      </c>
      <c r="G299" s="46" t="str">
        <f>IFERROR(__xludf.DUMMYFUNCTION("""COMPUTED_VALUE"""),"Bảo trì định kỳ")</f>
        <v>Bảo trì định kỳ</v>
      </c>
      <c r="H299" s="46"/>
      <c r="I299" s="46" t="str">
        <f>IFERROR(__xludf.DUMMYFUNCTION("""COMPUTED_VALUE"""),"Bảo trì")</f>
        <v>Bảo trì</v>
      </c>
      <c r="J299" s="46"/>
      <c r="K299" s="46"/>
      <c r="L299" s="46"/>
      <c r="M299" s="46"/>
      <c r="N299" s="46"/>
      <c r="O299" s="46"/>
      <c r="P299" s="46"/>
      <c r="Q299" s="46" t="str">
        <f>IFERROR(__xludf.DUMMYFUNCTION("""COMPUTED_VALUE"""),"Hoàn thành")</f>
        <v>Hoàn thành</v>
      </c>
      <c r="R299" s="46"/>
      <c r="S299" s="46"/>
      <c r="T299" s="46"/>
      <c r="U299" s="46"/>
      <c r="V299" s="46"/>
      <c r="W299" s="46"/>
      <c r="X299" s="46"/>
      <c r="Y299" s="46"/>
      <c r="Z299" s="46"/>
      <c r="AA299" s="46"/>
    </row>
    <row r="300">
      <c r="A300" s="55">
        <f>IFERROR(__xludf.DUMMYFUNCTION("""COMPUTED_VALUE"""),44305.78598516204)</f>
        <v>44305.78599</v>
      </c>
      <c r="B300" s="56">
        <f>IFERROR(__xludf.DUMMYFUNCTION("""COMPUTED_VALUE"""),44285.0)</f>
        <v>44285</v>
      </c>
      <c r="C300" s="59" t="str">
        <f t="shared" si="3"/>
        <v>Báo cáo muộn</v>
      </c>
      <c r="D300" s="46" t="str">
        <f>IFERROR(__xludf.DUMMYFUNCTION("""COMPUTED_VALUE"""),"Bannt")</f>
        <v>Bannt</v>
      </c>
      <c r="E300" s="57" t="str">
        <f>IFERROR(__xludf.DUMMYFUNCTION("""COMPUTED_VALUE"""),"5310182954")</f>
        <v>5310182954</v>
      </c>
      <c r="F300" s="46" t="str">
        <f>IFERROR(__xludf.DUMMYFUNCTION("""COMPUTED_VALUE"""),"100 Phạm Ngũ Lão, TT Kẻ Sặt, huyện Bình Giang")</f>
        <v>100 Phạm Ngũ Lão, TT Kẻ Sặt, huyện Bình Giang</v>
      </c>
      <c r="G300" s="46" t="str">
        <f>IFERROR(__xludf.DUMMYFUNCTION("""COMPUTED_VALUE"""),"Bảo trì định kỳ")</f>
        <v>Bảo trì định kỳ</v>
      </c>
      <c r="H300" s="46"/>
      <c r="I300" s="46" t="str">
        <f>IFERROR(__xludf.DUMMYFUNCTION("""COMPUTED_VALUE"""),"Bảo trì")</f>
        <v>Bảo trì</v>
      </c>
      <c r="J300" s="46"/>
      <c r="K300" s="46"/>
      <c r="L300" s="46"/>
      <c r="M300" s="46"/>
      <c r="N300" s="46"/>
      <c r="O300" s="46"/>
      <c r="P300" s="46"/>
      <c r="Q300" s="46" t="str">
        <f>IFERROR(__xludf.DUMMYFUNCTION("""COMPUTED_VALUE"""),"Hoàn thành")</f>
        <v>Hoàn thành</v>
      </c>
      <c r="R300" s="46"/>
      <c r="S300" s="46"/>
      <c r="T300" s="46"/>
      <c r="U300" s="46"/>
      <c r="V300" s="46"/>
      <c r="W300" s="46"/>
      <c r="X300" s="46"/>
      <c r="Y300" s="46"/>
      <c r="Z300" s="46"/>
      <c r="AA300" s="46"/>
    </row>
    <row r="301">
      <c r="A301" s="55">
        <f>IFERROR(__xludf.DUMMYFUNCTION("""COMPUTED_VALUE"""),44305.78667832176)</f>
        <v>44305.78668</v>
      </c>
      <c r="B301" s="56">
        <f>IFERROR(__xludf.DUMMYFUNCTION("""COMPUTED_VALUE"""),44286.0)</f>
        <v>44286</v>
      </c>
      <c r="C301" s="59" t="str">
        <f t="shared" si="3"/>
        <v>Báo cáo muộn</v>
      </c>
      <c r="D301" s="46" t="str">
        <f>IFERROR(__xludf.DUMMYFUNCTION("""COMPUTED_VALUE"""),"Bannt")</f>
        <v>Bannt</v>
      </c>
      <c r="E301" s="57" t="str">
        <f>IFERROR(__xludf.DUMMYFUNCTION("""COMPUTED_VALUE"""),"5300380399")</f>
        <v>5300380399</v>
      </c>
      <c r="F301" s="46" t="str">
        <f>IFERROR(__xludf.DUMMYFUNCTION("""COMPUTED_VALUE"""),"Đường Thừa Dụ - Thị trấn Ninh Giang - H. Ninh Giang - T. Hải Dương")</f>
        <v>Đường Thừa Dụ - Thị trấn Ninh Giang - H. Ninh Giang - T. Hải Dương</v>
      </c>
      <c r="G301" s="46" t="str">
        <f>IFERROR(__xludf.DUMMYFUNCTION("""COMPUTED_VALUE"""),"Bảo trì định kỳ")</f>
        <v>Bảo trì định kỳ</v>
      </c>
      <c r="H301" s="46"/>
      <c r="I301" s="46" t="str">
        <f>IFERROR(__xludf.DUMMYFUNCTION("""COMPUTED_VALUE"""),"Bảo trì")</f>
        <v>Bảo trì</v>
      </c>
      <c r="J301" s="46"/>
      <c r="K301" s="46"/>
      <c r="L301" s="46"/>
      <c r="M301" s="46"/>
      <c r="N301" s="46"/>
      <c r="O301" s="46"/>
      <c r="P301" s="46"/>
      <c r="Q301" s="46" t="str">
        <f>IFERROR(__xludf.DUMMYFUNCTION("""COMPUTED_VALUE"""),"Hoàn thành")</f>
        <v>Hoàn thành</v>
      </c>
      <c r="R301" s="46"/>
      <c r="S301" s="46"/>
      <c r="T301" s="46"/>
      <c r="U301" s="46"/>
      <c r="V301" s="46"/>
      <c r="W301" s="46"/>
      <c r="X301" s="46"/>
      <c r="Y301" s="46"/>
      <c r="Z301" s="46"/>
      <c r="AA301" s="46"/>
    </row>
    <row r="302">
      <c r="A302" s="55">
        <f>IFERROR(__xludf.DUMMYFUNCTION("""COMPUTED_VALUE"""),44305.787084421296)</f>
        <v>44305.78708</v>
      </c>
      <c r="B302" s="56">
        <f>IFERROR(__xludf.DUMMYFUNCTION("""COMPUTED_VALUE"""),44286.0)</f>
        <v>44286</v>
      </c>
      <c r="C302" s="59" t="str">
        <f t="shared" si="3"/>
        <v>Báo cáo muộn</v>
      </c>
      <c r="D302" s="46" t="str">
        <f>IFERROR(__xludf.DUMMYFUNCTION("""COMPUTED_VALUE"""),"Bannt")</f>
        <v>Bannt</v>
      </c>
      <c r="E302" s="57" t="str">
        <f>IFERROR(__xludf.DUMMYFUNCTION("""COMPUTED_VALUE"""),"5310182448")</f>
        <v>5310182448</v>
      </c>
      <c r="F302" s="46" t="str">
        <f>IFERROR(__xludf.DUMMYFUNCTION("""COMPUTED_VALUE"""),"Đường Khúc Thừa Dụ, TT Ninh Giang, huyện Ninh Giang")</f>
        <v>Đường Khúc Thừa Dụ, TT Ninh Giang, huyện Ninh Giang</v>
      </c>
      <c r="G302" s="46" t="str">
        <f>IFERROR(__xludf.DUMMYFUNCTION("""COMPUTED_VALUE"""),"Bảo trì định kỳ")</f>
        <v>Bảo trì định kỳ</v>
      </c>
      <c r="H302" s="46"/>
      <c r="I302" s="46" t="str">
        <f>IFERROR(__xludf.DUMMYFUNCTION("""COMPUTED_VALUE"""),"Bảo trì")</f>
        <v>Bảo trì</v>
      </c>
      <c r="J302" s="46"/>
      <c r="K302" s="46"/>
      <c r="L302" s="46"/>
      <c r="M302" s="46"/>
      <c r="N302" s="46"/>
      <c r="O302" s="46"/>
      <c r="P302" s="46"/>
      <c r="Q302" s="46" t="str">
        <f>IFERROR(__xludf.DUMMYFUNCTION("""COMPUTED_VALUE"""),"Hoàn thành")</f>
        <v>Hoàn thành</v>
      </c>
      <c r="R302" s="46"/>
      <c r="S302" s="46"/>
      <c r="T302" s="46"/>
      <c r="U302" s="46"/>
      <c r="V302" s="46"/>
      <c r="W302" s="46"/>
      <c r="X302" s="46"/>
      <c r="Y302" s="46"/>
      <c r="Z302" s="46"/>
      <c r="AA302" s="46"/>
    </row>
    <row r="303">
      <c r="A303" s="55">
        <f>IFERROR(__xludf.DUMMYFUNCTION("""COMPUTED_VALUE"""),44305.78758553241)</f>
        <v>44305.78759</v>
      </c>
      <c r="B303" s="56">
        <f>IFERROR(__xludf.DUMMYFUNCTION("""COMPUTED_VALUE"""),44287.0)</f>
        <v>44287</v>
      </c>
      <c r="C303" s="59" t="str">
        <f t="shared" si="3"/>
        <v>Báo cáo muộn</v>
      </c>
      <c r="D303" s="46" t="str">
        <f>IFERROR(__xludf.DUMMYFUNCTION("""COMPUTED_VALUE"""),"Bannt")</f>
        <v>Bannt</v>
      </c>
      <c r="E303" s="57" t="str">
        <f>IFERROR(__xludf.DUMMYFUNCTION("""COMPUTED_VALUE"""),"5310105833")</f>
        <v>5310105833</v>
      </c>
      <c r="F303" s="46" t="str">
        <f>IFERROR(__xludf.DUMMYFUNCTION("""COMPUTED_VALUE"""),"Agribank huyện Thanh Miện, số 163 Nguyễn Lương Bằng, thị trấn Thanh Miện, huyện Thanh Miện, Hải Dương")</f>
        <v>Agribank huyện Thanh Miện, số 163 Nguyễn Lương Bằng, thị trấn Thanh Miện, huyện Thanh Miện, Hải Dương</v>
      </c>
      <c r="G303" s="46" t="str">
        <f>IFERROR(__xludf.DUMMYFUNCTION("""COMPUTED_VALUE"""),"Bảo trì định kỳ")</f>
        <v>Bảo trì định kỳ</v>
      </c>
      <c r="H303" s="46"/>
      <c r="I303" s="46" t="str">
        <f>IFERROR(__xludf.DUMMYFUNCTION("""COMPUTED_VALUE"""),"Bảo trì")</f>
        <v>Bảo trì</v>
      </c>
      <c r="J303" s="46"/>
      <c r="K303" s="46"/>
      <c r="L303" s="46"/>
      <c r="M303" s="46"/>
      <c r="N303" s="46"/>
      <c r="O303" s="46"/>
      <c r="P303" s="46"/>
      <c r="Q303" s="46" t="str">
        <f>IFERROR(__xludf.DUMMYFUNCTION("""COMPUTED_VALUE"""),"Hoàn thành")</f>
        <v>Hoàn thành</v>
      </c>
      <c r="R303" s="46"/>
      <c r="S303" s="46"/>
      <c r="T303" s="46"/>
      <c r="U303" s="46"/>
      <c r="V303" s="46"/>
      <c r="W303" s="46"/>
      <c r="X303" s="46"/>
      <c r="Y303" s="46"/>
      <c r="Z303" s="46"/>
      <c r="AA303" s="46"/>
    </row>
    <row r="304">
      <c r="A304" s="55">
        <f>IFERROR(__xludf.DUMMYFUNCTION("""COMPUTED_VALUE"""),44305.7891172338)</f>
        <v>44305.78912</v>
      </c>
      <c r="B304" s="56">
        <f>IFERROR(__xludf.DUMMYFUNCTION("""COMPUTED_VALUE"""),44288.0)</f>
        <v>44288</v>
      </c>
      <c r="C304" s="59" t="str">
        <f t="shared" si="3"/>
        <v>Báo cáo muộn</v>
      </c>
      <c r="D304" s="46" t="str">
        <f>IFERROR(__xludf.DUMMYFUNCTION("""COMPUTED_VALUE"""),"Bannt")</f>
        <v>Bannt</v>
      </c>
      <c r="E304" s="57" t="str">
        <f>IFERROR(__xludf.DUMMYFUNCTION("""COMPUTED_VALUE"""),"5310180949")</f>
        <v>5310180949</v>
      </c>
      <c r="F304" s="46" t="str">
        <f>IFERROR(__xludf.DUMMYFUNCTION("""COMPUTED_VALUE"""),"Khu Thống Nhất, TT Lai Cách, huyện Cầm Giàng")</f>
        <v>Khu Thống Nhất, TT Lai Cách, huyện Cầm Giàng</v>
      </c>
      <c r="G304" s="46" t="str">
        <f>IFERROR(__xludf.DUMMYFUNCTION("""COMPUTED_VALUE"""),"Bảo trì định kỳ, không trả tiền khay 200")</f>
        <v>Bảo trì định kỳ, không trả tiền khay 200</v>
      </c>
      <c r="H304" s="46"/>
      <c r="I304" s="46" t="str">
        <f>IFERROR(__xludf.DUMMYFUNCTION("""COMPUTED_VALUE"""),"Bảo trì")</f>
        <v>Bảo trì</v>
      </c>
      <c r="J304" s="46" t="str">
        <f>IFERROR(__xludf.DUMMYFUNCTION("""COMPUTED_VALUE"""),"Bảo trì 2 bộ casset")</f>
        <v>Bảo trì 2 bộ casset</v>
      </c>
      <c r="K304" s="46"/>
      <c r="L304" s="46"/>
      <c r="M304" s="46"/>
      <c r="N304" s="46"/>
      <c r="O304" s="46"/>
      <c r="P304" s="46"/>
      <c r="Q304" s="46" t="str">
        <f>IFERROR(__xludf.DUMMYFUNCTION("""COMPUTED_VALUE"""),"Hoàn thành")</f>
        <v>Hoàn thành</v>
      </c>
      <c r="R304" s="46"/>
      <c r="S304" s="46"/>
      <c r="T304" s="46"/>
      <c r="U304" s="46"/>
      <c r="V304" s="46"/>
      <c r="W304" s="46"/>
      <c r="X304" s="46"/>
      <c r="Y304" s="46"/>
      <c r="Z304" s="46"/>
      <c r="AA304" s="46"/>
    </row>
    <row r="305">
      <c r="A305" s="55">
        <f>IFERROR(__xludf.DUMMYFUNCTION("""COMPUTED_VALUE"""),44305.79363467592)</f>
        <v>44305.79363</v>
      </c>
      <c r="B305" s="56">
        <f>IFERROR(__xludf.DUMMYFUNCTION("""COMPUTED_VALUE"""),44305.0)</f>
        <v>44305</v>
      </c>
      <c r="C305" s="59" t="str">
        <f t="shared" si="3"/>
        <v/>
      </c>
      <c r="D305" s="46" t="str">
        <f>IFERROR(__xludf.DUMMYFUNCTION("""COMPUTED_VALUE"""),"thangnx")</f>
        <v>thangnx</v>
      </c>
      <c r="E305" s="57" t="str">
        <f>IFERROR(__xludf.DUMMYFUNCTION("""COMPUTED_VALUE"""),"5300381788")</f>
        <v>5300381788</v>
      </c>
      <c r="F305" s="46" t="str">
        <f>IFERROR(__xludf.DUMMYFUNCTION("""COMPUTED_VALUE"""),"146 phố Môi, thị trấn Môi, Thanh Hóa")</f>
        <v>146 phố Môi, thị trấn Môi, Thanh Hóa</v>
      </c>
      <c r="G305" s="46" t="str">
        <f>IFERROR(__xludf.DUMMYFUNCTION("""COMPUTED_VALUE"""),"Lỗi 9-0")</f>
        <v>Lỗi 9-0</v>
      </c>
      <c r="H305" s="46"/>
      <c r="I305" s="46"/>
      <c r="J305" s="46" t="str">
        <f>IFERROR(__xludf.DUMMYFUNCTION("""COMPUTED_VALUE"""),"Nối lại dây sensor bị đứt")</f>
        <v>Nối lại dây sensor bị đứt</v>
      </c>
      <c r="K305" s="46"/>
      <c r="L305" s="46"/>
      <c r="M305" s="46"/>
      <c r="N305" s="46"/>
      <c r="O305" s="46"/>
      <c r="P305" s="46"/>
      <c r="Q305" s="46" t="str">
        <f>IFERROR(__xludf.DUMMYFUNCTION("""COMPUTED_VALUE"""),"Hoàn thành")</f>
        <v>Hoàn thành</v>
      </c>
      <c r="R305" s="46"/>
      <c r="S305" s="46"/>
      <c r="T305" s="46"/>
      <c r="U305" s="46"/>
      <c r="V305" s="46"/>
      <c r="W305" s="46"/>
      <c r="X305" s="46"/>
      <c r="Y305" s="46"/>
      <c r="Z305" s="46"/>
      <c r="AA305" s="46"/>
    </row>
    <row r="306">
      <c r="A306" s="55">
        <f>IFERROR(__xludf.DUMMYFUNCTION("""COMPUTED_VALUE"""),44305.80120659722)</f>
        <v>44305.80121</v>
      </c>
      <c r="B306" s="56">
        <f>IFERROR(__xludf.DUMMYFUNCTION("""COMPUTED_VALUE"""),44293.0)</f>
        <v>44293</v>
      </c>
      <c r="C306" s="59" t="str">
        <f t="shared" si="3"/>
        <v>Báo cáo muộn</v>
      </c>
      <c r="D306" s="46" t="str">
        <f>IFERROR(__xludf.DUMMYFUNCTION("""COMPUTED_VALUE"""),"Bannt")</f>
        <v>Bannt</v>
      </c>
      <c r="E306" s="57" t="str">
        <f>IFERROR(__xludf.DUMMYFUNCTION("""COMPUTED_VALUE"""),"5310180920")</f>
        <v>5310180920</v>
      </c>
      <c r="F306" s="46" t="str">
        <f>IFERROR(__xludf.DUMMYFUNCTION("""COMPUTED_VALUE"""),"Số 37 đường Hồ Xuân Hương, P.Trường Sơn, TT Sầm Sơn, TP Sầm Sơn, tỉnh Thanh Hóa")</f>
        <v>Số 37 đường Hồ Xuân Hương, P.Trường Sơn, TT Sầm Sơn, TP Sầm Sơn, tỉnh Thanh Hóa</v>
      </c>
      <c r="G306" s="46" t="str">
        <f>IFERROR(__xludf.DUMMYFUNCTION("""COMPUTED_VALUE"""),"Rác nhiều")</f>
        <v>Rác nhiều</v>
      </c>
      <c r="H306" s="46"/>
      <c r="I306" s="46"/>
      <c r="J306" s="46" t="str">
        <f>IFERROR(__xludf.DUMMYFUNCTION("""COMPUTED_VALUE"""),"Bảo trì lại Bptt")</f>
        <v>Bảo trì lại Bptt</v>
      </c>
      <c r="K306" s="46"/>
      <c r="L306" s="46"/>
      <c r="M306" s="46"/>
      <c r="N306" s="46"/>
      <c r="O306" s="46"/>
      <c r="P306" s="46"/>
      <c r="Q306" s="46" t="str">
        <f>IFERROR(__xludf.DUMMYFUNCTION("""COMPUTED_VALUE"""),"Hoàn thành")</f>
        <v>Hoàn thành</v>
      </c>
      <c r="R306" s="46"/>
      <c r="S306" s="46"/>
      <c r="T306" s="46"/>
      <c r="U306" s="46"/>
      <c r="V306" s="46"/>
      <c r="W306" s="46"/>
      <c r="X306" s="46"/>
      <c r="Y306" s="46"/>
      <c r="Z306" s="46"/>
      <c r="AA306" s="46"/>
    </row>
    <row r="307">
      <c r="A307" s="55">
        <f>IFERROR(__xludf.DUMMYFUNCTION("""COMPUTED_VALUE"""),44305.801537858795)</f>
        <v>44305.80154</v>
      </c>
      <c r="B307" s="56">
        <f>IFERROR(__xludf.DUMMYFUNCTION("""COMPUTED_VALUE"""),44304.0)</f>
        <v>44304</v>
      </c>
      <c r="C307" s="59" t="str">
        <f t="shared" si="3"/>
        <v/>
      </c>
      <c r="D307" s="46" t="str">
        <f>IFERROR(__xludf.DUMMYFUNCTION("""COMPUTED_VALUE"""),"Bannt")</f>
        <v>Bannt</v>
      </c>
      <c r="E307" s="57" t="str">
        <f>IFERROR(__xludf.DUMMYFUNCTION("""COMPUTED_VALUE"""),"5310180766")</f>
        <v>5310180766</v>
      </c>
      <c r="F307" s="46" t="str">
        <f>IFERROR(__xludf.DUMMYFUNCTION("""COMPUTED_VALUE"""),"Thôn Thống Nhất - xã Luận Thành, Thường Xuân, Thanh Hóa")</f>
        <v>Thôn Thống Nhất - xã Luận Thành, Thường Xuân, Thanh Hóa</v>
      </c>
      <c r="G307" s="46" t="str">
        <f>IFERROR(__xludf.DUMMYFUNCTION("""COMPUTED_VALUE"""),"Bảo trì lẻ")</f>
        <v>Bảo trì lẻ</v>
      </c>
      <c r="H307" s="46"/>
      <c r="I307" s="46" t="str">
        <f>IFERROR(__xludf.DUMMYFUNCTION("""COMPUTED_VALUE"""),"Bảo trì")</f>
        <v>Bảo trì</v>
      </c>
      <c r="J307" s="46"/>
      <c r="K307" s="46"/>
      <c r="L307" s="46"/>
      <c r="M307" s="46"/>
      <c r="N307" s="46"/>
      <c r="O307" s="46"/>
      <c r="P307" s="46"/>
      <c r="Q307" s="46" t="str">
        <f>IFERROR(__xludf.DUMMYFUNCTION("""COMPUTED_VALUE"""),"Hoàn thành")</f>
        <v>Hoàn thành</v>
      </c>
      <c r="R307" s="46"/>
      <c r="S307" s="46"/>
      <c r="T307" s="46"/>
      <c r="U307" s="46"/>
      <c r="V307" s="46"/>
      <c r="W307" s="46"/>
      <c r="X307" s="46"/>
      <c r="Y307" s="46"/>
      <c r="Z307" s="46"/>
      <c r="AA307" s="46"/>
    </row>
    <row r="308">
      <c r="A308" s="55">
        <f>IFERROR(__xludf.DUMMYFUNCTION("""COMPUTED_VALUE"""),44305.80261434028)</f>
        <v>44305.80261</v>
      </c>
      <c r="B308" s="56">
        <f>IFERROR(__xludf.DUMMYFUNCTION("""COMPUTED_VALUE"""),44296.0)</f>
        <v>44296</v>
      </c>
      <c r="C308" s="59" t="str">
        <f t="shared" si="3"/>
        <v>Báo cáo muộn</v>
      </c>
      <c r="D308" s="46" t="str">
        <f>IFERROR(__xludf.DUMMYFUNCTION("""COMPUTED_VALUE"""),"Bannt")</f>
        <v>Bannt</v>
      </c>
      <c r="E308" s="57" t="str">
        <f>IFERROR(__xludf.DUMMYFUNCTION("""COMPUTED_VALUE"""),"5310180603")</f>
        <v>5310180603</v>
      </c>
      <c r="F308" s="46" t="str">
        <f>IFERROR(__xludf.DUMMYFUNCTION("""COMPUTED_VALUE"""),"Khu 2, TT Lam Sơn, H Thọ Xuân, tỉnh Thanh Hóa")</f>
        <v>Khu 2, TT Lam Sơn, H Thọ Xuân, tỉnh Thanh Hóa</v>
      </c>
      <c r="G308" s="46" t="str">
        <f>IFERROR(__xludf.DUMMYFUNCTION("""COMPUTED_VALUE"""),"Bảo trì lẻ")</f>
        <v>Bảo trì lẻ</v>
      </c>
      <c r="H308" s="46"/>
      <c r="I308" s="46" t="str">
        <f>IFERROR(__xludf.DUMMYFUNCTION("""COMPUTED_VALUE"""),"Bảo trì")</f>
        <v>Bảo trì</v>
      </c>
      <c r="J308" s="46"/>
      <c r="K308" s="46"/>
      <c r="L308" s="46"/>
      <c r="M308" s="46"/>
      <c r="N308" s="46"/>
      <c r="O308" s="46"/>
      <c r="P308" s="46"/>
      <c r="Q308" s="46" t="str">
        <f>IFERROR(__xludf.DUMMYFUNCTION("""COMPUTED_VALUE"""),"Hoàn thành")</f>
        <v>Hoàn thành</v>
      </c>
      <c r="R308" s="46"/>
      <c r="S308" s="46"/>
      <c r="T308" s="46"/>
      <c r="U308" s="46"/>
      <c r="V308" s="46"/>
      <c r="W308" s="46"/>
      <c r="X308" s="46"/>
      <c r="Y308" s="46"/>
      <c r="Z308" s="46"/>
      <c r="AA308" s="46"/>
    </row>
    <row r="309">
      <c r="A309" s="55">
        <f>IFERROR(__xludf.DUMMYFUNCTION("""COMPUTED_VALUE"""),44305.8032494213)</f>
        <v>44305.80325</v>
      </c>
      <c r="B309" s="56">
        <f>IFERROR(__xludf.DUMMYFUNCTION("""COMPUTED_VALUE"""),44294.0)</f>
        <v>44294</v>
      </c>
      <c r="C309" s="59" t="str">
        <f t="shared" si="3"/>
        <v>Báo cáo muộn</v>
      </c>
      <c r="D309" s="46" t="str">
        <f>IFERROR(__xludf.DUMMYFUNCTION("""COMPUTED_VALUE"""),"Bannt")</f>
        <v>Bannt</v>
      </c>
      <c r="E309" s="57" t="str">
        <f>IFERROR(__xludf.DUMMYFUNCTION("""COMPUTED_VALUE"""),"5310180766")</f>
        <v>5310180766</v>
      </c>
      <c r="F309" s="46" t="str">
        <f>IFERROR(__xludf.DUMMYFUNCTION("""COMPUTED_VALUE"""),"Thôn Thống Nhất - xã Luận Thành, Thường Xuân, Thanh Hóa")</f>
        <v>Thôn Thống Nhất - xã Luận Thành, Thường Xuân, Thanh Hóa</v>
      </c>
      <c r="G309" s="46" t="str">
        <f>IFERROR(__xludf.DUMMYFUNCTION("""COMPUTED_VALUE"""),"Bảo trì định kỳ")</f>
        <v>Bảo trì định kỳ</v>
      </c>
      <c r="H309" s="46"/>
      <c r="I309" s="46" t="str">
        <f>IFERROR(__xludf.DUMMYFUNCTION("""COMPUTED_VALUE"""),"Bảo trì")</f>
        <v>Bảo trì</v>
      </c>
      <c r="J309" s="46"/>
      <c r="K309" s="46"/>
      <c r="L309" s="46"/>
      <c r="M309" s="46"/>
      <c r="N309" s="46"/>
      <c r="O309" s="46"/>
      <c r="P309" s="46"/>
      <c r="Q309" s="46" t="str">
        <f>IFERROR(__xludf.DUMMYFUNCTION("""COMPUTED_VALUE"""),"Hoàn thành")</f>
        <v>Hoàn thành</v>
      </c>
      <c r="R309" s="46"/>
      <c r="S309" s="46"/>
      <c r="T309" s="46"/>
      <c r="U309" s="46"/>
      <c r="V309" s="46"/>
      <c r="W309" s="46"/>
      <c r="X309" s="46"/>
      <c r="Y309" s="46"/>
      <c r="Z309" s="46"/>
      <c r="AA309" s="46"/>
    </row>
    <row r="310">
      <c r="A310" s="55">
        <f>IFERROR(__xludf.DUMMYFUNCTION("""COMPUTED_VALUE"""),44305.80561964121)</f>
        <v>44305.80562</v>
      </c>
      <c r="B310" s="56">
        <f>IFERROR(__xludf.DUMMYFUNCTION("""COMPUTED_VALUE"""),44298.0)</f>
        <v>44298</v>
      </c>
      <c r="C310" s="59" t="str">
        <f t="shared" si="3"/>
        <v>Báo cáo muộn</v>
      </c>
      <c r="D310" s="46" t="str">
        <f>IFERROR(__xludf.DUMMYFUNCTION("""COMPUTED_VALUE"""),"Bannt")</f>
        <v>Bannt</v>
      </c>
      <c r="E310" s="57" t="str">
        <f>IFERROR(__xludf.DUMMYFUNCTION("""COMPUTED_VALUE"""),"5300380006")</f>
        <v>5300380006</v>
      </c>
      <c r="F310" s="46" t="str">
        <f>IFERROR(__xludf.DUMMYFUNCTION("""COMPUTED_VALUE"""),"NHNo Tứ Kỳ - Đường 391 H. Tứ Kỳ - T. Hải Dương")</f>
        <v>NHNo Tứ Kỳ - Đường 391 H. Tứ Kỳ - T. Hải Dương</v>
      </c>
      <c r="G310" s="46" t="str">
        <f>IFERROR(__xludf.DUMMYFUNCTION("""COMPUTED_VALUE"""),"Máy kẹt tiền, rác nhiều")</f>
        <v>Máy kẹt tiền, rác nhiều</v>
      </c>
      <c r="H310" s="46"/>
      <c r="I310" s="46" t="str">
        <f>IFERROR(__xludf.DUMMYFUNCTION("""COMPUTED_VALUE"""),"Bảo trì")</f>
        <v>Bảo trì</v>
      </c>
      <c r="J310" s="46" t="str">
        <f>IFERROR(__xludf.DUMMYFUNCTION("""COMPUTED_VALUE"""),"Thay thế dây , trục bị nát")</f>
        <v>Thay thế dây , trục bị nát</v>
      </c>
      <c r="K310" s="46" t="str">
        <f>IFERROR(__xludf.DUMMYFUNCTION("""COMPUTED_VALUE"""),"01 trục đỡ dây curoa")</f>
        <v>01 trục đỡ dây curoa</v>
      </c>
      <c r="L310" s="46" t="str">
        <f>IFERROR(__xludf.DUMMYFUNCTION("""COMPUTED_VALUE"""),"02 dây curoa")</f>
        <v>02 dây curoa</v>
      </c>
      <c r="M310" s="46"/>
      <c r="N310" s="46"/>
      <c r="O310" s="46"/>
      <c r="P310" s="46"/>
      <c r="Q310" s="46" t="str">
        <f>IFERROR(__xludf.DUMMYFUNCTION("""COMPUTED_VALUE"""),"Hoàn thành")</f>
        <v>Hoàn thành</v>
      </c>
      <c r="R310" s="46"/>
      <c r="S310" s="46"/>
      <c r="T310" s="46"/>
      <c r="U310" s="46"/>
      <c r="V310" s="46"/>
      <c r="W310" s="46"/>
      <c r="X310" s="46"/>
      <c r="Y310" s="46"/>
      <c r="Z310" s="46"/>
      <c r="AA310" s="46"/>
    </row>
    <row r="311">
      <c r="A311" s="55">
        <f>IFERROR(__xludf.DUMMYFUNCTION("""COMPUTED_VALUE"""),44305.80825185185)</f>
        <v>44305.80825</v>
      </c>
      <c r="B311" s="56">
        <f>IFERROR(__xludf.DUMMYFUNCTION("""COMPUTED_VALUE"""),44299.0)</f>
        <v>44299</v>
      </c>
      <c r="C311" s="59" t="str">
        <f t="shared" si="3"/>
        <v>Báo cáo muộn</v>
      </c>
      <c r="D311" s="46" t="str">
        <f>IFERROR(__xludf.DUMMYFUNCTION("""COMPUTED_VALUE"""),"Bannt")</f>
        <v>Bannt</v>
      </c>
      <c r="E311" s="57" t="str">
        <f>IFERROR(__xludf.DUMMYFUNCTION("""COMPUTED_VALUE"""),"5300380271")</f>
        <v>5300380271</v>
      </c>
      <c r="F311" s="46" t="str">
        <f>IFERROR(__xludf.DUMMYFUNCTION("""COMPUTED_VALUE"""),"Tiểu khu 2 - Thị trấn Thắng - H. Hiệp Hòa - Bắc Giang")</f>
        <v>Tiểu khu 2 - Thị trấn Thắng - H. Hiệp Hòa - Bắc Giang</v>
      </c>
      <c r="G311" s="46" t="str">
        <f>IFERROR(__xludf.DUMMYFUNCTION("""COMPUTED_VALUE"""),"Máy kẹt tiền liên tục khay 500")</f>
        <v>Máy kẹt tiền liên tục khay 500</v>
      </c>
      <c r="H311" s="46"/>
      <c r="I311" s="46"/>
      <c r="J311" s="46" t="str">
        <f>IFERROR(__xludf.DUMMYFUNCTION("""COMPUTED_VALUE"""),"Tháo miếng thép tại miếng nhựa đen khay 500 bị vênh")</f>
        <v>Tháo miếng thép tại miếng nhựa đen khay 500 bị vênh</v>
      </c>
      <c r="K311" s="46"/>
      <c r="L311" s="46"/>
      <c r="M311" s="46"/>
      <c r="N311" s="46"/>
      <c r="O311" s="46"/>
      <c r="P311" s="46"/>
      <c r="Q311" s="46" t="str">
        <f>IFERROR(__xludf.DUMMYFUNCTION("""COMPUTED_VALUE"""),"Hoàn thành")</f>
        <v>Hoàn thành</v>
      </c>
      <c r="R311" s="46"/>
      <c r="S311" s="46"/>
      <c r="T311" s="46"/>
      <c r="U311" s="46"/>
      <c r="V311" s="46"/>
      <c r="W311" s="46"/>
      <c r="X311" s="46"/>
      <c r="Y311" s="46"/>
      <c r="Z311" s="46"/>
      <c r="AA311" s="46"/>
    </row>
    <row r="312">
      <c r="A312" s="55">
        <f>IFERROR(__xludf.DUMMYFUNCTION("""COMPUTED_VALUE"""),44305.809564814816)</f>
        <v>44305.80956</v>
      </c>
      <c r="B312" s="56">
        <f>IFERROR(__xludf.DUMMYFUNCTION("""COMPUTED_VALUE"""),44300.0)</f>
        <v>44300</v>
      </c>
      <c r="C312" s="59" t="str">
        <f t="shared" si="3"/>
        <v>Báo cáo muộn</v>
      </c>
      <c r="D312" s="46" t="str">
        <f>IFERROR(__xludf.DUMMYFUNCTION("""COMPUTED_VALUE"""),"Bannt")</f>
        <v>Bannt</v>
      </c>
      <c r="E312" s="57" t="str">
        <f>IFERROR(__xludf.DUMMYFUNCTION("""COMPUTED_VALUE"""),"5300380461")</f>
        <v>5300380461</v>
      </c>
      <c r="F312" s="46" t="str">
        <f>IFERROR(__xludf.DUMMYFUNCTION("""COMPUTED_VALUE"""),"Thị trấn Sóc Sơn, huyện Sóc Sơn")</f>
        <v>Thị trấn Sóc Sơn, huyện Sóc Sơn</v>
      </c>
      <c r="G312" s="46" t="str">
        <f>IFERROR(__xludf.DUMMYFUNCTION("""COMPUTED_VALUE"""),"kẹt tiền tại miếng nhựa trong liên tục")</f>
        <v>kẹt tiền tại miếng nhựa trong liên tục</v>
      </c>
      <c r="H312" s="46"/>
      <c r="I312" s="46" t="str">
        <f>IFERROR(__xludf.DUMMYFUNCTION("""COMPUTED_VALUE"""),"Bảo trì")</f>
        <v>Bảo trì</v>
      </c>
      <c r="J312" s="46" t="str">
        <f>IFERROR(__xludf.DUMMYFUNCTION("""COMPUTED_VALUE"""),"Thay thế presenter")</f>
        <v>Thay thế presenter</v>
      </c>
      <c r="K312" s="46" t="str">
        <f>IFERROR(__xludf.DUMMYFUNCTION("""COMPUTED_VALUE"""),"01 presenter")</f>
        <v>01 presenter</v>
      </c>
      <c r="L312" s="46"/>
      <c r="M312" s="46"/>
      <c r="N312" s="46"/>
      <c r="O312" s="46"/>
      <c r="P312" s="46"/>
      <c r="Q312" s="46" t="str">
        <f>IFERROR(__xludf.DUMMYFUNCTION("""COMPUTED_VALUE"""),"Hoàn thành")</f>
        <v>Hoàn thành</v>
      </c>
      <c r="R312" s="46"/>
      <c r="S312" s="46"/>
      <c r="T312" s="46"/>
      <c r="U312" s="46"/>
      <c r="V312" s="46"/>
      <c r="W312" s="46"/>
      <c r="X312" s="46"/>
      <c r="Y312" s="46"/>
      <c r="Z312" s="46"/>
      <c r="AA312" s="46"/>
    </row>
    <row r="313">
      <c r="A313" s="55">
        <f>IFERROR(__xludf.DUMMYFUNCTION("""COMPUTED_VALUE"""),44305.81078395833)</f>
        <v>44305.81078</v>
      </c>
      <c r="B313" s="56">
        <f>IFERROR(__xludf.DUMMYFUNCTION("""COMPUTED_VALUE"""),44301.0)</f>
        <v>44301</v>
      </c>
      <c r="C313" s="59" t="str">
        <f t="shared" si="3"/>
        <v>Báo cáo muộn</v>
      </c>
      <c r="D313" s="46" t="str">
        <f>IFERROR(__xludf.DUMMYFUNCTION("""COMPUTED_VALUE"""),"Bannt")</f>
        <v>Bannt</v>
      </c>
      <c r="E313" s="57" t="str">
        <f>IFERROR(__xludf.DUMMYFUNCTION("""COMPUTED_VALUE"""),"5300380271")</f>
        <v>5300380271</v>
      </c>
      <c r="F313" s="46" t="str">
        <f>IFERROR(__xludf.DUMMYFUNCTION("""COMPUTED_VALUE"""),"Tiểu khu 2 - Thị trấn Thắng - H. Hiệp Hòa - Bắc Giang")</f>
        <v>Tiểu khu 2 - Thị trấn Thắng - H. Hiệp Hòa - Bắc Giang</v>
      </c>
      <c r="G313" s="46" t="str">
        <f>IFERROR(__xludf.DUMMYFUNCTION("""COMPUTED_VALUE"""),"Không trả tiền khay 100")</f>
        <v>Không trả tiền khay 100</v>
      </c>
      <c r="H313" s="46"/>
      <c r="I313" s="46"/>
      <c r="J313" s="46" t="str">
        <f>IFERROR(__xludf.DUMMYFUNCTION("""COMPUTED_VALUE"""),"Thay thế 01 miếng nhựa đen tại Extractor bị lỗi")</f>
        <v>Thay thế 01 miếng nhựa đen tại Extractor bị lỗi</v>
      </c>
      <c r="K313" s="46" t="str">
        <f>IFERROR(__xludf.DUMMYFUNCTION("""COMPUTED_VALUE"""),"01 miếng nhựa đen")</f>
        <v>01 miếng nhựa đen</v>
      </c>
      <c r="L313" s="46"/>
      <c r="M313" s="46"/>
      <c r="N313" s="46"/>
      <c r="O313" s="46"/>
      <c r="P313" s="46"/>
      <c r="Q313" s="46" t="str">
        <f>IFERROR(__xludf.DUMMYFUNCTION("""COMPUTED_VALUE"""),"Hoàn thành")</f>
        <v>Hoàn thành</v>
      </c>
      <c r="R313" s="46"/>
      <c r="S313" s="46"/>
      <c r="T313" s="46"/>
      <c r="U313" s="46"/>
      <c r="V313" s="46"/>
      <c r="W313" s="46"/>
      <c r="X313" s="46"/>
      <c r="Y313" s="46"/>
      <c r="Z313" s="46"/>
      <c r="AA313" s="46"/>
    </row>
    <row r="314">
      <c r="A314" s="55">
        <f>IFERROR(__xludf.DUMMYFUNCTION("""COMPUTED_VALUE"""),44305.811875266205)</f>
        <v>44305.81188</v>
      </c>
      <c r="B314" s="56">
        <f>IFERROR(__xludf.DUMMYFUNCTION("""COMPUTED_VALUE"""),44302.0)</f>
        <v>44302</v>
      </c>
      <c r="C314" s="59" t="str">
        <f t="shared" si="3"/>
        <v>Báo cáo muộn</v>
      </c>
      <c r="D314" s="46" t="str">
        <f>IFERROR(__xludf.DUMMYFUNCTION("""COMPUTED_VALUE"""),"Bannt")</f>
        <v>Bannt</v>
      </c>
      <c r="E314" s="57" t="str">
        <f>IFERROR(__xludf.DUMMYFUNCTION("""COMPUTED_VALUE"""),"5300381801")</f>
        <v>5300381801</v>
      </c>
      <c r="F314" s="46" t="str">
        <f>IFERROR(__xludf.DUMMYFUNCTION("""COMPUTED_VALUE"""),"Thị trấn Vĩnh Trụ, huyện Lý Nhân, Hà Nam")</f>
        <v>Thị trấn Vĩnh Trụ, huyện Lý Nhân, Hà Nam</v>
      </c>
      <c r="G314" s="46" t="str">
        <f>IFERROR(__xludf.DUMMYFUNCTION("""COMPUTED_VALUE"""),"Máy thường xuyên bị trèo dây curoa")</f>
        <v>Máy thường xuyên bị trèo dây curoa</v>
      </c>
      <c r="H314" s="46"/>
      <c r="I314" s="46"/>
      <c r="J314" s="46" t="str">
        <f>IFERROR(__xludf.DUMMYFUNCTION("""COMPUTED_VALUE"""),"Thay thế dây curoa và trục đỡ dây curoa tại Ex1")</f>
        <v>Thay thế dây curoa và trục đỡ dây curoa tại Ex1</v>
      </c>
      <c r="K314" s="46" t="str">
        <f>IFERROR(__xludf.DUMMYFUNCTION("""COMPUTED_VALUE"""),"02 dây curoa")</f>
        <v>02 dây curoa</v>
      </c>
      <c r="L314" s="46" t="str">
        <f>IFERROR(__xludf.DUMMYFUNCTION("""COMPUTED_VALUE"""),"01 trục đỡ")</f>
        <v>01 trục đỡ</v>
      </c>
      <c r="M314" s="46"/>
      <c r="N314" s="46"/>
      <c r="O314" s="46"/>
      <c r="P314" s="46"/>
      <c r="Q314" s="46" t="str">
        <f>IFERROR(__xludf.DUMMYFUNCTION("""COMPUTED_VALUE"""),"Hoàn thành")</f>
        <v>Hoàn thành</v>
      </c>
      <c r="R314" s="46"/>
      <c r="S314" s="46"/>
      <c r="T314" s="46"/>
      <c r="U314" s="46"/>
      <c r="V314" s="46"/>
      <c r="W314" s="46"/>
      <c r="X314" s="46"/>
      <c r="Y314" s="46"/>
      <c r="Z314" s="46"/>
      <c r="AA314" s="46"/>
    </row>
    <row r="315">
      <c r="A315" s="55">
        <f>IFERROR(__xludf.DUMMYFUNCTION("""COMPUTED_VALUE"""),44305.81393391204)</f>
        <v>44305.81393</v>
      </c>
      <c r="B315" s="56">
        <f>IFERROR(__xludf.DUMMYFUNCTION("""COMPUTED_VALUE"""),44303.0)</f>
        <v>44303</v>
      </c>
      <c r="C315" s="59" t="str">
        <f t="shared" si="3"/>
        <v>Báo cáo muộn</v>
      </c>
      <c r="D315" s="46" t="str">
        <f>IFERROR(__xludf.DUMMYFUNCTION("""COMPUTED_VALUE"""),"Bannt")</f>
        <v>Bannt</v>
      </c>
      <c r="E315" s="57" t="str">
        <f>IFERROR(__xludf.DUMMYFUNCTION("""COMPUTED_VALUE"""),"56HGL03517")</f>
        <v>56HGL03517</v>
      </c>
      <c r="F315" s="46" t="str">
        <f>IFERROR(__xludf.DUMMYFUNCTION("""COMPUTED_VALUE"""),"KCN Đồng Văn I, Duy Tiên, Hà Nam")</f>
        <v>KCN Đồng Văn I, Duy Tiên, Hà Nam</v>
      </c>
      <c r="G315" s="46" t="str">
        <f>IFERROR(__xludf.DUMMYFUNCTION("""COMPUTED_VALUE"""),"Lỗi 26")</f>
        <v>Lỗi 26</v>
      </c>
      <c r="H315" s="46"/>
      <c r="I315" s="46"/>
      <c r="J315" s="46" t="str">
        <f>IFERROR(__xludf.DUMMYFUNCTION("""COMPUTED_VALUE"""),"Thay thế presenter")</f>
        <v>Thay thế presenter</v>
      </c>
      <c r="K315" s="46" t="str">
        <f>IFERROR(__xludf.DUMMYFUNCTION("""COMPUTED_VALUE"""),"01 presenter")</f>
        <v>01 presenter</v>
      </c>
      <c r="L315" s="46"/>
      <c r="M315" s="46"/>
      <c r="N315" s="46"/>
      <c r="O315" s="46"/>
      <c r="P315" s="46"/>
      <c r="Q315" s="46" t="str">
        <f>IFERROR(__xludf.DUMMYFUNCTION("""COMPUTED_VALUE"""),"Hoàn thành")</f>
        <v>Hoàn thành</v>
      </c>
      <c r="R315" s="46"/>
      <c r="S315" s="46"/>
      <c r="T315" s="46"/>
      <c r="U315" s="46"/>
      <c r="V315" s="46"/>
      <c r="W315" s="46"/>
      <c r="X315" s="46"/>
      <c r="Y315" s="46"/>
      <c r="Z315" s="46"/>
      <c r="AA315" s="46"/>
    </row>
    <row r="316">
      <c r="A316" s="55">
        <f>IFERROR(__xludf.DUMMYFUNCTION("""COMPUTED_VALUE"""),44306.436183680555)</f>
        <v>44306.43618</v>
      </c>
      <c r="B316" s="56">
        <f>IFERROR(__xludf.DUMMYFUNCTION("""COMPUTED_VALUE"""),44305.0)</f>
        <v>44305</v>
      </c>
      <c r="C316" s="59" t="str">
        <f t="shared" si="3"/>
        <v/>
      </c>
      <c r="D316" s="46" t="str">
        <f>IFERROR(__xludf.DUMMYFUNCTION("""COMPUTED_VALUE"""),"Tunt")</f>
        <v>Tunt</v>
      </c>
      <c r="E316" s="57" t="str">
        <f>IFERROR(__xludf.DUMMYFUNCTION("""COMPUTED_VALUE"""),"5310182676")</f>
        <v>5310182676</v>
      </c>
      <c r="F316" s="46" t="str">
        <f>IFERROR(__xludf.DUMMYFUNCTION("""COMPUTED_VALUE"""),"Số 45 Ngô Gia Tự, P Trần Phú, TP Bắc Giang")</f>
        <v>Số 45 Ngô Gia Tự, P Trần Phú, TP Bắc Giang</v>
      </c>
      <c r="G316" s="46" t="str">
        <f>IFERROR(__xludf.DUMMYFUNCTION("""COMPUTED_VALUE"""),"Chuyển máy đến xã Tiên Lục, Lạng Giang, Bắc Giang và bảo trì")</f>
        <v>Chuyển máy đến xã Tiên Lục, Lạng Giang, Bắc Giang và bảo trì</v>
      </c>
      <c r="H316" s="46"/>
      <c r="I316" s="46" t="str">
        <f>IFERROR(__xludf.DUMMYFUNCTION("""COMPUTED_VALUE"""),"Bảo trì")</f>
        <v>Bảo trì</v>
      </c>
      <c r="J316" s="46" t="str">
        <f>IFERROR(__xludf.DUMMYFUNCTION("""COMPUTED_VALUE"""),"Cấu hình đưa máy vào hoạt động, bảo trì")</f>
        <v>Cấu hình đưa máy vào hoạt động, bảo trì</v>
      </c>
      <c r="K316" s="46"/>
      <c r="L316" s="46"/>
      <c r="M316" s="46"/>
      <c r="N316" s="46"/>
      <c r="O316" s="46"/>
      <c r="P316" s="46"/>
      <c r="Q316" s="46" t="str">
        <f>IFERROR(__xludf.DUMMYFUNCTION("""COMPUTED_VALUE"""),"Hoàn thành")</f>
        <v>Hoàn thành</v>
      </c>
      <c r="R316" s="46"/>
      <c r="S316" s="46"/>
      <c r="T316" s="46"/>
      <c r="U316" s="46"/>
      <c r="V316" s="46"/>
      <c r="W316" s="46"/>
      <c r="X316" s="46"/>
      <c r="Y316" s="46"/>
      <c r="Z316" s="46"/>
      <c r="AA316" s="46"/>
    </row>
    <row r="317">
      <c r="A317" s="55">
        <f>IFERROR(__xludf.DUMMYFUNCTION("""COMPUTED_VALUE"""),44306.47488313657)</f>
        <v>44306.47488</v>
      </c>
      <c r="B317" s="56">
        <f>IFERROR(__xludf.DUMMYFUNCTION("""COMPUTED_VALUE"""),44306.0)</f>
        <v>44306</v>
      </c>
      <c r="C317" s="59" t="str">
        <f t="shared" si="3"/>
        <v/>
      </c>
      <c r="D317" s="46" t="str">
        <f>IFERROR(__xludf.DUMMYFUNCTION("""COMPUTED_VALUE"""),"Thuongd")</f>
        <v>Thuongd</v>
      </c>
      <c r="E317" s="57" t="str">
        <f>IFERROR(__xludf.DUMMYFUNCTION("""COMPUTED_VALUE"""),"5300380938")</f>
        <v>5300380938</v>
      </c>
      <c r="F317" s="46" t="str">
        <f>IFERROR(__xludf.DUMMYFUNCTION("""COMPUTED_VALUE"""),"NHNo Đức Thọ, xóm 5 thị trấn Đức Thọ, Đức Thọ")</f>
        <v>NHNo Đức Thọ, xóm 5 thị trấn Đức Thọ, Đức Thọ</v>
      </c>
      <c r="G317" s="46" t="str">
        <f>IFERROR(__xludf.DUMMYFUNCTION("""COMPUTED_VALUE"""),"Tiền loại nhiều")</f>
        <v>Tiền loại nhiều</v>
      </c>
      <c r="H317" s="46"/>
      <c r="I317" s="46"/>
      <c r="J317" s="46" t="str">
        <f>IFERROR(__xludf.DUMMYFUNCTION("""COMPUTED_VALUE"""),"Vệ sinh, thay trục ex, dây coroa ex")</f>
        <v>Vệ sinh, thay trục ex, dây coroa ex</v>
      </c>
      <c r="K317" s="46"/>
      <c r="L317" s="46"/>
      <c r="M317" s="46"/>
      <c r="N317" s="46"/>
      <c r="O317" s="46"/>
      <c r="P317" s="46"/>
      <c r="Q317" s="46" t="str">
        <f>IFERROR(__xludf.DUMMYFUNCTION("""COMPUTED_VALUE"""),"Hoàn thành")</f>
        <v>Hoàn thành</v>
      </c>
      <c r="R317" s="46"/>
      <c r="S317" s="46"/>
      <c r="T317" s="46"/>
      <c r="U317" s="46"/>
      <c r="V317" s="46"/>
      <c r="W317" s="46"/>
      <c r="X317" s="46"/>
      <c r="Y317" s="46"/>
      <c r="Z317" s="46"/>
      <c r="AA317" s="46"/>
    </row>
    <row r="318">
      <c r="A318" s="55">
        <f>IFERROR(__xludf.DUMMYFUNCTION("""COMPUTED_VALUE"""),44306.60408261574)</f>
        <v>44306.60408</v>
      </c>
      <c r="B318" s="56">
        <f>IFERROR(__xludf.DUMMYFUNCTION("""COMPUTED_VALUE"""),44306.0)</f>
        <v>44306</v>
      </c>
      <c r="C318" s="59" t="str">
        <f t="shared" si="3"/>
        <v/>
      </c>
      <c r="D318" s="46" t="str">
        <f>IFERROR(__xludf.DUMMYFUNCTION("""COMPUTED_VALUE"""),"Tuanva")</f>
        <v>Tuanva</v>
      </c>
      <c r="E318" s="57" t="str">
        <f>IFERROR(__xludf.DUMMYFUNCTION("""COMPUTED_VALUE"""),"5310107221")</f>
        <v>5310107221</v>
      </c>
      <c r="F318" s="46" t="str">
        <f>IFERROR(__xludf.DUMMYFUNCTION("""COMPUTED_VALUE"""),"Số 279 đường Thống Nhất, TP. Thái Nguyên")</f>
        <v>Số 279 đường Thống Nhất, TP. Thái Nguyên</v>
      </c>
      <c r="G318" s="46" t="str">
        <f>IFERROR(__xludf.DUMMYFUNCTION("""COMPUTED_VALUE"""),"Không rút được khay 200k")</f>
        <v>Không rút được khay 200k</v>
      </c>
      <c r="H318" s="46"/>
      <c r="I318" s="46"/>
      <c r="J318" s="46" t="str">
        <f>IFERROR(__xludf.DUMMYFUNCTION("""COMPUTED_VALUE"""),"Thay thế xu miết tiền.")</f>
        <v>Thay thế xu miết tiền.</v>
      </c>
      <c r="K318" s="46" t="str">
        <f>IFERROR(__xludf.DUMMYFUNCTION("""COMPUTED_VALUE"""),"03 xu miết tiền")</f>
        <v>03 xu miết tiền</v>
      </c>
      <c r="L318" s="46" t="str">
        <f>IFERROR(__xludf.DUMMYFUNCTION("""COMPUTED_VALUE"""),"01 trục cuốn dây curoa ex")</f>
        <v>01 trục cuốn dây curoa ex</v>
      </c>
      <c r="M318" s="46"/>
      <c r="N318" s="46"/>
      <c r="O318" s="46"/>
      <c r="P318" s="46"/>
      <c r="Q318" s="46" t="str">
        <f>IFERROR(__xludf.DUMMYFUNCTION("""COMPUTED_VALUE"""),"Hoàn thành")</f>
        <v>Hoàn thành</v>
      </c>
      <c r="R318" s="46"/>
      <c r="S318" s="46"/>
      <c r="T318" s="46"/>
      <c r="U318" s="46"/>
      <c r="V318" s="46"/>
      <c r="W318" s="46"/>
      <c r="X318" s="46"/>
      <c r="Y318" s="46"/>
      <c r="Z318" s="46"/>
      <c r="AA318" s="46"/>
    </row>
    <row r="319">
      <c r="A319" s="55">
        <f>IFERROR(__xludf.DUMMYFUNCTION("""COMPUTED_VALUE"""),44306.60898091435)</f>
        <v>44306.60898</v>
      </c>
      <c r="B319" s="56">
        <f>IFERROR(__xludf.DUMMYFUNCTION("""COMPUTED_VALUE"""),44306.0)</f>
        <v>44306</v>
      </c>
      <c r="C319" s="59" t="str">
        <f t="shared" si="3"/>
        <v/>
      </c>
      <c r="D319" s="46" t="str">
        <f>IFERROR(__xludf.DUMMYFUNCTION("""COMPUTED_VALUE"""),"thangnx")</f>
        <v>thangnx</v>
      </c>
      <c r="E319" s="57" t="str">
        <f>IFERROR(__xludf.DUMMYFUNCTION("""COMPUTED_VALUE"""),"5310182501")</f>
        <v>5310182501</v>
      </c>
      <c r="F319" s="46" t="str">
        <f>IFERROR(__xludf.DUMMYFUNCTION("""COMPUTED_VALUE"""),"Tổ dân phố 8, TT Mậu A, huyện Văn Yên, tỉnh Yên Bái")</f>
        <v>Tổ dân phố 8, TT Mậu A, huyện Văn Yên, tỉnh Yên Bái</v>
      </c>
      <c r="G319" s="46" t="str">
        <f>IFERROR(__xludf.DUMMYFUNCTION("""COMPUTED_VALUE"""),"Hay mất thông số, kẹt tiền tầng 50")</f>
        <v>Hay mất thông số, kẹt tiền tầng 50</v>
      </c>
      <c r="H319" s="46"/>
      <c r="I319" s="46"/>
      <c r="J319" s="46"/>
      <c r="K319" s="46" t="str">
        <f>IFERROR(__xludf.DUMMYFUNCTION("""COMPUTED_VALUE"""),"01 bo ngang")</f>
        <v>01 bo ngang</v>
      </c>
      <c r="L319" s="46" t="str">
        <f>IFERROR(__xludf.DUMMYFUNCTION("""COMPUTED_VALUE"""),"01 trục pick")</f>
        <v>01 trục pick</v>
      </c>
      <c r="M319" s="46"/>
      <c r="N319" s="46"/>
      <c r="O319" s="46"/>
      <c r="P319" s="46"/>
      <c r="Q319" s="46" t="str">
        <f>IFERROR(__xludf.DUMMYFUNCTION("""COMPUTED_VALUE"""),"Hoàn thành")</f>
        <v>Hoàn thành</v>
      </c>
      <c r="R319" s="46"/>
      <c r="S319" s="46"/>
      <c r="T319" s="46"/>
      <c r="U319" s="46"/>
      <c r="V319" s="46"/>
      <c r="W319" s="46"/>
      <c r="X319" s="46"/>
      <c r="Y319" s="46"/>
      <c r="Z319" s="46"/>
      <c r="AA319" s="46"/>
    </row>
    <row r="320">
      <c r="A320" s="55">
        <f>IFERROR(__xludf.DUMMYFUNCTION("""COMPUTED_VALUE"""),44306.633608159726)</f>
        <v>44306.63361</v>
      </c>
      <c r="B320" s="56">
        <f>IFERROR(__xludf.DUMMYFUNCTION("""COMPUTED_VALUE"""),44306.0)</f>
        <v>44306</v>
      </c>
      <c r="C320" s="59" t="str">
        <f t="shared" si="3"/>
        <v/>
      </c>
      <c r="D320" s="46" t="str">
        <f>IFERROR(__xludf.DUMMYFUNCTION("""COMPUTED_VALUE"""),"Bannt")</f>
        <v>Bannt</v>
      </c>
      <c r="E320" s="57" t="str">
        <f>IFERROR(__xludf.DUMMYFUNCTION("""COMPUTED_VALUE"""),"5300381513")</f>
        <v>5300381513</v>
      </c>
      <c r="F320" s="46" t="str">
        <f>IFERROR(__xludf.DUMMYFUNCTION("""COMPUTED_VALUE"""),"PGD Nam Vĩnh Yên, Khai Quan, Vĩnh Yên, Vĩnh Phúc")</f>
        <v>PGD Nam Vĩnh Yên, Khai Quan, Vĩnh Yên, Vĩnh Phúc</v>
      </c>
      <c r="G320" s="46" t="str">
        <f>IFERROR(__xludf.DUMMYFUNCTION("""COMPUTED_VALUE"""),"Không trả tiền khay 200")</f>
        <v>Không trả tiền khay 200</v>
      </c>
      <c r="H320" s="46"/>
      <c r="I320" s="46"/>
      <c r="J320" s="46" t="str">
        <f>IFERROR(__xludf.DUMMYFUNCTION("""COMPUTED_VALUE"""),"Lắp lại phanh và vòng bi khay bị văng")</f>
        <v>Lắp lại phanh và vòng bi khay bị văng</v>
      </c>
      <c r="K320" s="46"/>
      <c r="L320" s="46"/>
      <c r="M320" s="46"/>
      <c r="N320" s="46"/>
      <c r="O320" s="46"/>
      <c r="P320" s="46"/>
      <c r="Q320" s="46" t="str">
        <f>IFERROR(__xludf.DUMMYFUNCTION("""COMPUTED_VALUE"""),"Hoàn thành")</f>
        <v>Hoàn thành</v>
      </c>
      <c r="R320" s="46"/>
      <c r="S320" s="46"/>
      <c r="T320" s="46"/>
      <c r="U320" s="46"/>
      <c r="V320" s="46"/>
      <c r="W320" s="46"/>
      <c r="X320" s="46"/>
      <c r="Y320" s="46"/>
      <c r="Z320" s="46"/>
      <c r="AA320" s="46"/>
    </row>
    <row r="321">
      <c r="A321" s="55">
        <f>IFERROR(__xludf.DUMMYFUNCTION("""COMPUTED_VALUE"""),44306.660383043985)</f>
        <v>44306.66038</v>
      </c>
      <c r="B321" s="56">
        <f>IFERROR(__xludf.DUMMYFUNCTION("""COMPUTED_VALUE"""),44306.0)</f>
        <v>44306</v>
      </c>
      <c r="C321" s="59" t="str">
        <f t="shared" si="3"/>
        <v/>
      </c>
      <c r="D321" s="46" t="str">
        <f>IFERROR(__xludf.DUMMYFUNCTION("""COMPUTED_VALUE"""),"Tuanva")</f>
        <v>Tuanva</v>
      </c>
      <c r="E321" s="57" t="str">
        <f>IFERROR(__xludf.DUMMYFUNCTION("""COMPUTED_VALUE"""),"5310181747")</f>
        <v>5310181747</v>
      </c>
      <c r="F321" s="46" t="str">
        <f>IFERROR(__xludf.DUMMYFUNCTION("""COMPUTED_VALUE"""),"Số 279 đường Thống Nhất, phường Gia Sàng, TP.Thái Nguyên")</f>
        <v>Số 279 đường Thống Nhất, phường Gia Sàng, TP.Thái Nguyên</v>
      </c>
      <c r="G321" s="46" t="str">
        <f>IFERROR(__xludf.DUMMYFUNCTION("""COMPUTED_VALUE"""),"Đổi địa chỉ đại học công nghiệp thái nguyên,666 đường 2/3 tp thái nguyên")</f>
        <v>Đổi địa chỉ đại học công nghiệp thái nguyên,666 đường 2/3 tp thái nguyên</v>
      </c>
      <c r="H321" s="46"/>
      <c r="I321" s="46" t="str">
        <f>IFERROR(__xludf.DUMMYFUNCTION("""COMPUTED_VALUE"""),"Bảo trì")</f>
        <v>Bảo trì</v>
      </c>
      <c r="J321" s="46" t="str">
        <f>IFERROR(__xludf.DUMMYFUNCTION("""COMPUTED_VALUE"""),"Bảo trì")</f>
        <v>Bảo trì</v>
      </c>
      <c r="K321" s="46"/>
      <c r="L321" s="46"/>
      <c r="M321" s="46"/>
      <c r="N321" s="46"/>
      <c r="O321" s="46"/>
      <c r="P321" s="46"/>
      <c r="Q321" s="46" t="str">
        <f>IFERROR(__xludf.DUMMYFUNCTION("""COMPUTED_VALUE"""),"Hoàn thành")</f>
        <v>Hoàn thành</v>
      </c>
      <c r="R321" s="46"/>
      <c r="S321" s="46"/>
      <c r="T321" s="46"/>
      <c r="U321" s="46"/>
      <c r="V321" s="46"/>
      <c r="W321" s="46"/>
      <c r="X321" s="46"/>
      <c r="Y321" s="46"/>
      <c r="Z321" s="46"/>
      <c r="AA321" s="46"/>
    </row>
    <row r="322">
      <c r="A322" s="55">
        <f>IFERROR(__xludf.DUMMYFUNCTION("""COMPUTED_VALUE"""),44306.70268200232)</f>
        <v>44306.70268</v>
      </c>
      <c r="B322" s="56">
        <f>IFERROR(__xludf.DUMMYFUNCTION("""COMPUTED_VALUE"""),44306.0)</f>
        <v>44306</v>
      </c>
      <c r="C322" s="59" t="str">
        <f t="shared" si="3"/>
        <v/>
      </c>
      <c r="D322" s="46" t="str">
        <f>IFERROR(__xludf.DUMMYFUNCTION("""COMPUTED_VALUE"""),"Tunt")</f>
        <v>Tunt</v>
      </c>
      <c r="E322" s="57" t="str">
        <f>IFERROR(__xludf.DUMMYFUNCTION("""COMPUTED_VALUE"""),"5300380314")</f>
        <v>5300380314</v>
      </c>
      <c r="F322" s="46" t="str">
        <f>IFERROR(__xludf.DUMMYFUNCTION("""COMPUTED_VALUE"""),"2454 Đại Lộ Hùng Vương - Vân Cơ - Việt Trì - Phú Thọ")</f>
        <v>2454 Đại Lộ Hùng Vương - Vân Cơ - Việt Trì - Phú Thọ</v>
      </c>
      <c r="G322" s="46" t="str">
        <f>IFERROR(__xludf.DUMMYFUNCTION("""COMPUTED_VALUE"""),"Lỗi 1-9, bảo trì")</f>
        <v>Lỗi 1-9, bảo trì</v>
      </c>
      <c r="H322" s="46"/>
      <c r="I322" s="46" t="str">
        <f>IFERROR(__xludf.DUMMYFUNCTION("""COMPUTED_VALUE"""),"Bảo trì")</f>
        <v>Bảo trì</v>
      </c>
      <c r="J322" s="46" t="str">
        <f>IFERROR(__xludf.DUMMYFUNCTION("""COMPUTED_VALUE"""),"Thay thế trục GAP tầng 220k")</f>
        <v>Thay thế trục GAP tầng 220k</v>
      </c>
      <c r="K322" s="46"/>
      <c r="L322" s="46"/>
      <c r="M322" s="46"/>
      <c r="N322" s="46"/>
      <c r="O322" s="46"/>
      <c r="P322" s="46"/>
      <c r="Q322" s="46" t="str">
        <f>IFERROR(__xludf.DUMMYFUNCTION("""COMPUTED_VALUE"""),"Hoàn thành")</f>
        <v>Hoàn thành</v>
      </c>
      <c r="R322" s="46"/>
      <c r="S322" s="46"/>
      <c r="T322" s="46"/>
      <c r="U322" s="46"/>
      <c r="V322" s="46"/>
      <c r="W322" s="46"/>
      <c r="X322" s="46"/>
      <c r="Y322" s="46"/>
      <c r="Z322" s="46"/>
      <c r="AA322" s="46"/>
    </row>
    <row r="323">
      <c r="A323" s="55">
        <f>IFERROR(__xludf.DUMMYFUNCTION("""COMPUTED_VALUE"""),44306.78085549768)</f>
        <v>44306.78086</v>
      </c>
      <c r="B323" s="56">
        <f>IFERROR(__xludf.DUMMYFUNCTION("""COMPUTED_VALUE"""),44300.0)</f>
        <v>44300</v>
      </c>
      <c r="C323" s="59" t="str">
        <f t="shared" si="3"/>
        <v>Báo cáo muộn</v>
      </c>
      <c r="D323" s="46" t="str">
        <f>IFERROR(__xludf.DUMMYFUNCTION("""COMPUTED_VALUE"""),"Hieppn")</f>
        <v>Hieppn</v>
      </c>
      <c r="E323" s="57" t="str">
        <f>IFERROR(__xludf.DUMMYFUNCTION("""COMPUTED_VALUE"""),"5310181356")</f>
        <v>5310181356</v>
      </c>
      <c r="F323" s="46" t="str">
        <f>IFERROR(__xludf.DUMMYFUNCTION("""COMPUTED_VALUE"""),"Thôn Đại Lộc, xã Đại Hợp, huyện Kiến Thụy, Hải Phòng")</f>
        <v>Thôn Đại Lộc, xã Đại Hợp, huyện Kiến Thụy, Hải Phòng</v>
      </c>
      <c r="G323" s="46" t="str">
        <f>IFERROR(__xludf.DUMMYFUNCTION("""COMPUTED_VALUE"""),"Bảo trì")</f>
        <v>Bảo trì</v>
      </c>
      <c r="H323" s="46"/>
      <c r="I323" s="46" t="str">
        <f>IFERROR(__xludf.DUMMYFUNCTION("""COMPUTED_VALUE"""),"Bảo trì")</f>
        <v>Bảo trì</v>
      </c>
      <c r="J323" s="46" t="str">
        <f>IFERROR(__xludf.DUMMYFUNCTION("""COMPUTED_VALUE"""),"Bảo trì định kỳ")</f>
        <v>Bảo trì định kỳ</v>
      </c>
      <c r="K323" s="46"/>
      <c r="L323" s="46"/>
      <c r="M323" s="46"/>
      <c r="N323" s="46"/>
      <c r="O323" s="46"/>
      <c r="P323" s="46"/>
      <c r="Q323" s="46" t="str">
        <f>IFERROR(__xludf.DUMMYFUNCTION("""COMPUTED_VALUE"""),"Hoàn thành")</f>
        <v>Hoàn thành</v>
      </c>
      <c r="R323" s="46"/>
      <c r="S323" s="46"/>
      <c r="T323" s="46"/>
      <c r="U323" s="46"/>
      <c r="V323" s="46"/>
      <c r="W323" s="46"/>
      <c r="X323" s="46"/>
      <c r="Y323" s="46"/>
      <c r="Z323" s="46"/>
      <c r="AA323" s="46"/>
    </row>
    <row r="324">
      <c r="A324" s="55">
        <f>IFERROR(__xludf.DUMMYFUNCTION("""COMPUTED_VALUE"""),44306.781825983795)</f>
        <v>44306.78183</v>
      </c>
      <c r="B324" s="56">
        <f>IFERROR(__xludf.DUMMYFUNCTION("""COMPUTED_VALUE"""),44300.0)</f>
        <v>44300</v>
      </c>
      <c r="C324" s="59" t="str">
        <f t="shared" si="3"/>
        <v>Báo cáo muộn</v>
      </c>
      <c r="D324" s="46" t="str">
        <f>IFERROR(__xludf.DUMMYFUNCTION("""COMPUTED_VALUE"""),"Hieppn")</f>
        <v>Hieppn</v>
      </c>
      <c r="E324" s="57" t="str">
        <f>IFERROR(__xludf.DUMMYFUNCTION("""COMPUTED_VALUE"""),"5310181629")</f>
        <v>5310181629</v>
      </c>
      <c r="F324" s="46" t="str">
        <f>IFERROR(__xludf.DUMMYFUNCTION("""COMPUTED_VALUE"""),"Số 4 khu Cẩm Xuân, TT Núi Đối, huyện Kiến Thụy - Hải Phòng")</f>
        <v>Số 4 khu Cẩm Xuân, TT Núi Đối, huyện Kiến Thụy - Hải Phòng</v>
      </c>
      <c r="G324" s="46" t="str">
        <f>IFERROR(__xludf.DUMMYFUNCTION("""COMPUTED_VALUE"""),"Bảo trì ")</f>
        <v>Bảo trì </v>
      </c>
      <c r="H324" s="46"/>
      <c r="I324" s="46" t="str">
        <f>IFERROR(__xludf.DUMMYFUNCTION("""COMPUTED_VALUE"""),"Bảo trì")</f>
        <v>Bảo trì</v>
      </c>
      <c r="J324" s="46" t="str">
        <f>IFERROR(__xludf.DUMMYFUNCTION("""COMPUTED_VALUE"""),"Bảo trì định kỳ")</f>
        <v>Bảo trì định kỳ</v>
      </c>
      <c r="K324" s="46"/>
      <c r="L324" s="46"/>
      <c r="M324" s="46"/>
      <c r="N324" s="46"/>
      <c r="O324" s="46"/>
      <c r="P324" s="46"/>
      <c r="Q324" s="46" t="str">
        <f>IFERROR(__xludf.DUMMYFUNCTION("""COMPUTED_VALUE"""),"Hoàn thành")</f>
        <v>Hoàn thành</v>
      </c>
      <c r="R324" s="46"/>
      <c r="S324" s="46"/>
      <c r="T324" s="46"/>
      <c r="U324" s="46"/>
      <c r="V324" s="46"/>
      <c r="W324" s="46"/>
      <c r="X324" s="46"/>
      <c r="Y324" s="46"/>
      <c r="Z324" s="46"/>
      <c r="AA324" s="46"/>
    </row>
    <row r="325">
      <c r="A325" s="55">
        <f>IFERROR(__xludf.DUMMYFUNCTION("""COMPUTED_VALUE"""),44306.78242476852)</f>
        <v>44306.78242</v>
      </c>
      <c r="B325" s="56">
        <f>IFERROR(__xludf.DUMMYFUNCTION("""COMPUTED_VALUE"""),44301.0)</f>
        <v>44301</v>
      </c>
      <c r="C325" s="59" t="str">
        <f t="shared" si="3"/>
        <v>Báo cáo muộn</v>
      </c>
      <c r="D325" s="46" t="str">
        <f>IFERROR(__xludf.DUMMYFUNCTION("""COMPUTED_VALUE"""),"Hieppn")</f>
        <v>Hieppn</v>
      </c>
      <c r="E325" s="57" t="str">
        <f>IFERROR(__xludf.DUMMYFUNCTION("""COMPUTED_VALUE"""),"5310182349")</f>
        <v>5310182349</v>
      </c>
      <c r="F325" s="46" t="str">
        <f>IFERROR(__xludf.DUMMYFUNCTION("""COMPUTED_VALUE"""),"Số 76 Trần Phú, phường Lương Khánh Thiện, quận Ngô Quyền, Hải Phòng")</f>
        <v>Số 76 Trần Phú, phường Lương Khánh Thiện, quận Ngô Quyền, Hải Phòng</v>
      </c>
      <c r="G325" s="46" t="str">
        <f>IFERROR(__xludf.DUMMYFUNCTION("""COMPUTED_VALUE"""),"Bảo trì")</f>
        <v>Bảo trì</v>
      </c>
      <c r="H325" s="46"/>
      <c r="I325" s="46" t="str">
        <f>IFERROR(__xludf.DUMMYFUNCTION("""COMPUTED_VALUE"""),"Bảo trì")</f>
        <v>Bảo trì</v>
      </c>
      <c r="J325" s="46" t="str">
        <f>IFERROR(__xludf.DUMMYFUNCTION("""COMPUTED_VALUE"""),"Bảo trì định kỳ")</f>
        <v>Bảo trì định kỳ</v>
      </c>
      <c r="K325" s="46"/>
      <c r="L325" s="46"/>
      <c r="M325" s="46"/>
      <c r="N325" s="46"/>
      <c r="O325" s="46"/>
      <c r="P325" s="46"/>
      <c r="Q325" s="46" t="str">
        <f>IFERROR(__xludf.DUMMYFUNCTION("""COMPUTED_VALUE"""),"Hoàn thành")</f>
        <v>Hoàn thành</v>
      </c>
      <c r="R325" s="46"/>
      <c r="S325" s="46"/>
      <c r="T325" s="46"/>
      <c r="U325" s="46"/>
      <c r="V325" s="46"/>
      <c r="W325" s="46"/>
      <c r="X325" s="46"/>
      <c r="Y325" s="46"/>
      <c r="Z325" s="46"/>
      <c r="AA325" s="46"/>
    </row>
    <row r="326">
      <c r="A326" s="55">
        <f>IFERROR(__xludf.DUMMYFUNCTION("""COMPUTED_VALUE"""),44306.78486008102)</f>
        <v>44306.78486</v>
      </c>
      <c r="B326" s="56">
        <f>IFERROR(__xludf.DUMMYFUNCTION("""COMPUTED_VALUE"""),44302.0)</f>
        <v>44302</v>
      </c>
      <c r="C326" s="59" t="str">
        <f t="shared" si="3"/>
        <v>Báo cáo muộn</v>
      </c>
      <c r="D326" s="46" t="str">
        <f>IFERROR(__xludf.DUMMYFUNCTION("""COMPUTED_VALUE"""),"Hieppn")</f>
        <v>Hieppn</v>
      </c>
      <c r="E326" s="57" t="str">
        <f>IFERROR(__xludf.DUMMYFUNCTION("""COMPUTED_VALUE"""),"5310182720")</f>
        <v>5310182720</v>
      </c>
      <c r="F326" s="46" t="str">
        <f>IFERROR(__xludf.DUMMYFUNCTION("""COMPUTED_VALUE"""),"29 Lê Đại Hành, P.Thanh Bình, TP.Ninh Bình")</f>
        <v>29 Lê Đại Hành, P.Thanh Bình, TP.Ninh Bình</v>
      </c>
      <c r="G326" s="46" t="str">
        <f>IFERROR(__xludf.DUMMYFUNCTION("""COMPUTED_VALUE"""),"Khắc phục sự cố kết hợp bảo trì")</f>
        <v>Khắc phục sự cố kết hợp bảo trì</v>
      </c>
      <c r="H326" s="46"/>
      <c r="I326" s="46" t="str">
        <f>IFERROR(__xludf.DUMMYFUNCTION("""COMPUTED_VALUE"""),"Bảo trì")</f>
        <v>Bảo trì</v>
      </c>
      <c r="J326" s="46" t="str">
        <f>IFERROR(__xludf.DUMMYFUNCTION("""COMPUTED_VALUE"""),"Thay thế vệ sinh máy ATM")</f>
        <v>Thay thế vệ sinh máy ATM</v>
      </c>
      <c r="K326" s="46" t="str">
        <f>IFERROR(__xludf.DUMMYFUNCTION("""COMPUTED_VALUE"""),"02 dây curoa")</f>
        <v>02 dây curoa</v>
      </c>
      <c r="L326" s="46" t="str">
        <f>IFERROR(__xludf.DUMMYFUNCTION("""COMPUTED_VALUE"""),"02 trục cuốn ")</f>
        <v>02 trục cuốn </v>
      </c>
      <c r="M326" s="46"/>
      <c r="N326" s="46"/>
      <c r="O326" s="46"/>
      <c r="P326" s="46"/>
      <c r="Q326" s="46" t="str">
        <f>IFERROR(__xludf.DUMMYFUNCTION("""COMPUTED_VALUE"""),"Hoàn thành")</f>
        <v>Hoàn thành</v>
      </c>
      <c r="R326" s="46"/>
      <c r="S326" s="46"/>
      <c r="T326" s="46"/>
      <c r="U326" s="46"/>
      <c r="V326" s="46"/>
      <c r="W326" s="46"/>
      <c r="X326" s="46"/>
      <c r="Y326" s="46"/>
      <c r="Z326" s="46"/>
      <c r="AA326" s="46"/>
    </row>
    <row r="327">
      <c r="A327" s="55">
        <f>IFERROR(__xludf.DUMMYFUNCTION("""COMPUTED_VALUE"""),44306.78653010417)</f>
        <v>44306.78653</v>
      </c>
      <c r="B327" s="56">
        <f>IFERROR(__xludf.DUMMYFUNCTION("""COMPUTED_VALUE"""),44305.0)</f>
        <v>44305</v>
      </c>
      <c r="C327" s="59" t="str">
        <f t="shared" si="3"/>
        <v/>
      </c>
      <c r="D327" s="46" t="str">
        <f>IFERROR(__xludf.DUMMYFUNCTION("""COMPUTED_VALUE"""),"Hieppn")</f>
        <v>Hieppn</v>
      </c>
      <c r="E327" s="57" t="str">
        <f>IFERROR(__xludf.DUMMYFUNCTION("""COMPUTED_VALUE"""),"5310182720")</f>
        <v>5310182720</v>
      </c>
      <c r="F327" s="46" t="str">
        <f>IFERROR(__xludf.DUMMYFUNCTION("""COMPUTED_VALUE"""),"29 Lê Đại Hành, P.Thanh Bình, TP.Ninh Bình")</f>
        <v>29 Lê Đại Hành, P.Thanh Bình, TP.Ninh Bình</v>
      </c>
      <c r="G327" s="46" t="str">
        <f>IFERROR(__xludf.DUMMYFUNCTION("""COMPUTED_VALUE"""),"Khắc phục sự cố ")</f>
        <v>Khắc phục sự cố </v>
      </c>
      <c r="H327" s="46"/>
      <c r="I327" s="46"/>
      <c r="J327" s="46" t="str">
        <f>IFERROR(__xludf.DUMMYFUNCTION("""COMPUTED_VALUE"""),"Thay thế ")</f>
        <v>Thay thế </v>
      </c>
      <c r="K327" s="46" t="str">
        <f>IFERROR(__xludf.DUMMYFUNCTION("""COMPUTED_VALUE"""),"01 cửa shutter")</f>
        <v>01 cửa shutter</v>
      </c>
      <c r="L327" s="46"/>
      <c r="M327" s="46"/>
      <c r="N327" s="46"/>
      <c r="O327" s="46"/>
      <c r="P327" s="46"/>
      <c r="Q327" s="46" t="str">
        <f>IFERROR(__xludf.DUMMYFUNCTION("""COMPUTED_VALUE"""),"Hoàn thành")</f>
        <v>Hoàn thành</v>
      </c>
      <c r="R327" s="46"/>
      <c r="S327" s="46"/>
      <c r="T327" s="46"/>
      <c r="U327" s="46"/>
      <c r="V327" s="46"/>
      <c r="W327" s="46"/>
      <c r="X327" s="46"/>
      <c r="Y327" s="46"/>
      <c r="Z327" s="46"/>
      <c r="AA327" s="46"/>
    </row>
    <row r="328">
      <c r="A328" s="55">
        <f>IFERROR(__xludf.DUMMYFUNCTION("""COMPUTED_VALUE"""),44306.78776090278)</f>
        <v>44306.78776</v>
      </c>
      <c r="B328" s="56">
        <f>IFERROR(__xludf.DUMMYFUNCTION("""COMPUTED_VALUE"""),44305.0)</f>
        <v>44305</v>
      </c>
      <c r="C328" s="59" t="str">
        <f t="shared" si="3"/>
        <v/>
      </c>
      <c r="D328" s="46" t="str">
        <f>IFERROR(__xludf.DUMMYFUNCTION("""COMPUTED_VALUE"""),"Hieppn")</f>
        <v>Hieppn</v>
      </c>
      <c r="E328" s="57" t="str">
        <f>IFERROR(__xludf.DUMMYFUNCTION("""COMPUTED_VALUE"""),"5310107327")</f>
        <v>5310107327</v>
      </c>
      <c r="F328" s="46" t="str">
        <f>IFERROR(__xludf.DUMMYFUNCTION("""COMPUTED_VALUE"""),"Phố Trung Yên, thị trấn Yên Thịnh, huyện Yên Mô, Ninh Bình")</f>
        <v>Phố Trung Yên, thị trấn Yên Thịnh, huyện Yên Mô, Ninh Bình</v>
      </c>
      <c r="G328" s="46" t="str">
        <f>IFERROR(__xludf.DUMMYFUNCTION("""COMPUTED_VALUE"""),"Rác nhiều và hay kẹt tiền tại khay 200")</f>
        <v>Rác nhiều và hay kẹt tiền tại khay 200</v>
      </c>
      <c r="H328" s="46"/>
      <c r="I328" s="46"/>
      <c r="J328" s="46" t="str">
        <f>IFERROR(__xludf.DUMMYFUNCTION("""COMPUTED_VALUE"""),"Kiểm tra và thay thế")</f>
        <v>Kiểm tra và thay thế</v>
      </c>
      <c r="K328" s="46" t="str">
        <f>IFERROR(__xludf.DUMMYFUNCTION("""COMPUTED_VALUE"""),"02 trục đen")</f>
        <v>02 trục đen</v>
      </c>
      <c r="L328" s="46" t="str">
        <f>IFERROR(__xludf.DUMMYFUNCTION("""COMPUTED_VALUE"""),"02 trục cuốn ")</f>
        <v>02 trục cuốn </v>
      </c>
      <c r="M328" s="46" t="str">
        <f>IFERROR(__xludf.DUMMYFUNCTION("""COMPUTED_VALUE"""),"01 trục đỡ")</f>
        <v>01 trục đỡ</v>
      </c>
      <c r="N328" s="46"/>
      <c r="O328" s="46"/>
      <c r="P328" s="46"/>
      <c r="Q328" s="46" t="str">
        <f>IFERROR(__xludf.DUMMYFUNCTION("""COMPUTED_VALUE"""),"Hoàn thành")</f>
        <v>Hoàn thành</v>
      </c>
      <c r="R328" s="46"/>
      <c r="S328" s="46"/>
      <c r="T328" s="46"/>
      <c r="U328" s="46"/>
      <c r="V328" s="46"/>
      <c r="W328" s="46"/>
      <c r="X328" s="46"/>
      <c r="Y328" s="46"/>
      <c r="Z328" s="46"/>
      <c r="AA328" s="46"/>
    </row>
    <row r="329">
      <c r="A329" s="55">
        <f>IFERROR(__xludf.DUMMYFUNCTION("""COMPUTED_VALUE"""),44306.78864936343)</f>
        <v>44306.78865</v>
      </c>
      <c r="B329" s="56">
        <f>IFERROR(__xludf.DUMMYFUNCTION("""COMPUTED_VALUE"""),44306.0)</f>
        <v>44306</v>
      </c>
      <c r="C329" s="59" t="str">
        <f t="shared" si="3"/>
        <v/>
      </c>
      <c r="D329" s="46" t="str">
        <f>IFERROR(__xludf.DUMMYFUNCTION("""COMPUTED_VALUE"""),"Hieppn")</f>
        <v>Hieppn</v>
      </c>
      <c r="E329" s="57" t="str">
        <f>IFERROR(__xludf.DUMMYFUNCTION("""COMPUTED_VALUE"""),"5310106185")</f>
        <v>5310106185</v>
      </c>
      <c r="F329" s="46" t="str">
        <f>IFERROR(__xludf.DUMMYFUNCTION("""COMPUTED_VALUE"""),"Khu 5 thị trấn Kim Tân, Thạch Thành, huyện Thạch Thành, Thanh Hóa")</f>
        <v>Khu 5 thị trấn Kim Tân, Thạch Thành, huyện Thạch Thành, Thanh Hóa</v>
      </c>
      <c r="G329" s="46" t="str">
        <f>IFERROR(__xludf.DUMMYFUNCTION("""COMPUTED_VALUE"""),"Lỗi Clamp")</f>
        <v>Lỗi Clamp</v>
      </c>
      <c r="H329" s="46"/>
      <c r="I329" s="46"/>
      <c r="J329" s="46" t="str">
        <f>IFERROR(__xludf.DUMMYFUNCTION("""COMPUTED_VALUE"""),"Thay thế ")</f>
        <v>Thay thế </v>
      </c>
      <c r="K329" s="46" t="str">
        <f>IFERROR(__xludf.DUMMYFUNCTION("""COMPUTED_VALUE"""),"01 Clamp")</f>
        <v>01 Clamp</v>
      </c>
      <c r="L329" s="46"/>
      <c r="M329" s="46"/>
      <c r="N329" s="46"/>
      <c r="O329" s="46"/>
      <c r="P329" s="46"/>
      <c r="Q329" s="46" t="str">
        <f>IFERROR(__xludf.DUMMYFUNCTION("""COMPUTED_VALUE"""),"Hoàn thành")</f>
        <v>Hoàn thành</v>
      </c>
      <c r="R329" s="46"/>
      <c r="S329" s="46"/>
      <c r="T329" s="46"/>
      <c r="U329" s="46"/>
      <c r="V329" s="46"/>
      <c r="W329" s="46"/>
      <c r="X329" s="46"/>
      <c r="Y329" s="46"/>
      <c r="Z329" s="46"/>
      <c r="AA329" s="46"/>
    </row>
    <row r="330">
      <c r="A330" s="55">
        <f>IFERROR(__xludf.DUMMYFUNCTION("""COMPUTED_VALUE"""),44307.33953233797)</f>
        <v>44307.33953</v>
      </c>
      <c r="B330" s="56">
        <f>IFERROR(__xludf.DUMMYFUNCTION("""COMPUTED_VALUE"""),44307.0)</f>
        <v>44307</v>
      </c>
      <c r="C330" s="59" t="str">
        <f t="shared" si="3"/>
        <v/>
      </c>
      <c r="D330" s="46" t="str">
        <f>IFERROR(__xludf.DUMMYFUNCTION("""COMPUTED_VALUE"""),"duclb")</f>
        <v>duclb</v>
      </c>
      <c r="E330" s="57" t="str">
        <f>IFERROR(__xludf.DUMMYFUNCTION("""COMPUTED_VALUE"""),"5310106109")</f>
        <v>5310106109</v>
      </c>
      <c r="F330" s="46" t="str">
        <f>IFERROR(__xludf.DUMMYFUNCTION("""COMPUTED_VALUE"""),"Khối 4 thị trấn Phù Yên, huyện Phù Yên, Sơn La")</f>
        <v>Khối 4 thị trấn Phù Yên, huyện Phù Yên, Sơn La</v>
      </c>
      <c r="G330" s="46" t="str">
        <f>IFERROR(__xludf.DUMMYFUNCTION("""COMPUTED_VALUE"""),"lỗi đầu đọc thẻ, hay kẹt tiền")</f>
        <v>lỗi đầu đọc thẻ, hay kẹt tiền</v>
      </c>
      <c r="H330" s="46"/>
      <c r="I330" s="46"/>
      <c r="J330" s="46"/>
      <c r="K330" s="46" t="str">
        <f>IFERROR(__xludf.DUMMYFUNCTION("""COMPUTED_VALUE"""),"01 trục gap")</f>
        <v>01 trục gap</v>
      </c>
      <c r="L330" s="46" t="str">
        <f>IFERROR(__xludf.DUMMYFUNCTION("""COMPUTED_VALUE"""),"01 đầu đọc thẻ")</f>
        <v>01 đầu đọc thẻ</v>
      </c>
      <c r="M330" s="46"/>
      <c r="N330" s="46"/>
      <c r="O330" s="46"/>
      <c r="P330" s="46"/>
      <c r="Q330" s="46" t="str">
        <f>IFERROR(__xludf.DUMMYFUNCTION("""COMPUTED_VALUE"""),"Hoàn thành")</f>
        <v>Hoàn thành</v>
      </c>
      <c r="R330" s="46"/>
      <c r="S330" s="46"/>
      <c r="T330" s="46"/>
      <c r="U330" s="46"/>
      <c r="V330" s="46"/>
      <c r="W330" s="46"/>
      <c r="X330" s="46"/>
      <c r="Y330" s="46"/>
      <c r="Z330" s="46"/>
      <c r="AA330" s="46"/>
    </row>
    <row r="331">
      <c r="A331" s="55">
        <f>IFERROR(__xludf.DUMMYFUNCTION("""COMPUTED_VALUE"""),44308.461746354165)</f>
        <v>44308.46175</v>
      </c>
      <c r="B331" s="56">
        <f>IFERROR(__xludf.DUMMYFUNCTION("""COMPUTED_VALUE"""),44308.0)</f>
        <v>44308</v>
      </c>
      <c r="C331" s="59" t="str">
        <f t="shared" si="3"/>
        <v/>
      </c>
      <c r="D331" s="46" t="str">
        <f>IFERROR(__xludf.DUMMYFUNCTION("""COMPUTED_VALUE"""),"Tuanva")</f>
        <v>Tuanva</v>
      </c>
      <c r="E331" s="57" t="str">
        <f>IFERROR(__xludf.DUMMYFUNCTION("""COMPUTED_VALUE"""),"5300381701")</f>
        <v>5300381701</v>
      </c>
      <c r="F331" s="46" t="str">
        <f>IFERROR(__xludf.DUMMYFUNCTION("""COMPUTED_VALUE"""),"739 Lạc Long Quân, Tây Hồ, Hà Nội")</f>
        <v>739 Lạc Long Quân, Tây Hồ, Hà Nội</v>
      </c>
      <c r="G331" s="46" t="str">
        <f>IFERROR(__xludf.DUMMYFUNCTION("""COMPUTED_VALUE"""),"Lỗi 1.8 và 2.2")</f>
        <v>Lỗi 1.8 và 2.2</v>
      </c>
      <c r="H331" s="46"/>
      <c r="I331" s="46"/>
      <c r="J331" s="46" t="str">
        <f>IFERROR(__xludf.DUMMYFUNCTION("""COMPUTED_VALUE"""),"Cắt cạo lại cáp ddu")</f>
        <v>Cắt cạo lại cáp ddu</v>
      </c>
      <c r="K331" s="46"/>
      <c r="L331" s="46"/>
      <c r="M331" s="46"/>
      <c r="N331" s="46"/>
      <c r="O331" s="46"/>
      <c r="P331" s="46"/>
      <c r="Q331" s="46" t="str">
        <f>IFERROR(__xludf.DUMMYFUNCTION("""COMPUTED_VALUE"""),"Hoàn thành")</f>
        <v>Hoàn thành</v>
      </c>
      <c r="R331" s="46"/>
      <c r="S331" s="46"/>
      <c r="T331" s="46"/>
      <c r="U331" s="46"/>
      <c r="V331" s="46"/>
      <c r="W331" s="46"/>
      <c r="X331" s="46"/>
      <c r="Y331" s="46"/>
      <c r="Z331" s="46"/>
      <c r="AA331" s="46"/>
    </row>
    <row r="332">
      <c r="A332" s="55">
        <f>IFERROR(__xludf.DUMMYFUNCTION("""COMPUTED_VALUE"""),44308.6224553125)</f>
        <v>44308.62246</v>
      </c>
      <c r="B332" s="56">
        <f>IFERROR(__xludf.DUMMYFUNCTION("""COMPUTED_VALUE"""),44308.0)</f>
        <v>44308</v>
      </c>
      <c r="C332" s="59" t="str">
        <f t="shared" si="3"/>
        <v/>
      </c>
      <c r="D332" s="46" t="str">
        <f>IFERROR(__xludf.DUMMYFUNCTION("""COMPUTED_VALUE"""),"Tuanva")</f>
        <v>Tuanva</v>
      </c>
      <c r="E332" s="57" t="str">
        <f>IFERROR(__xludf.DUMMYFUNCTION("""COMPUTED_VALUE"""),"5300380271")</f>
        <v>5300380271</v>
      </c>
      <c r="F332" s="46" t="str">
        <f>IFERROR(__xludf.DUMMYFUNCTION("""COMPUTED_VALUE"""),"Tiểu khu 2 - Thị trấn Thắng - H. Hiệp Hòa - Bắc Giang")</f>
        <v>Tiểu khu 2 - Thị trấn Thắng - H. Hiệp Hòa - Bắc Giang</v>
      </c>
      <c r="G332" s="46" t="str">
        <f>IFERROR(__xludf.DUMMYFUNCTION("""COMPUTED_VALUE"""),"Lỗi 2.5")</f>
        <v>Lỗi 2.5</v>
      </c>
      <c r="H332" s="46"/>
      <c r="I332" s="46"/>
      <c r="J332" s="46" t="str">
        <f>IFERROR(__xludf.DUMMYFUNCTION("""COMPUTED_VALUE"""),"Tiền kẹt giữa ex và pre.đứt dây curoa ex1")</f>
        <v>Tiền kẹt giữa ex và pre.đứt dây curoa ex1</v>
      </c>
      <c r="K332" s="46" t="str">
        <f>IFERROR(__xludf.DUMMYFUNCTION("""COMPUTED_VALUE"""),"02 dây curoa extractor")</f>
        <v>02 dây curoa extractor</v>
      </c>
      <c r="L332" s="46" t="str">
        <f>IFERROR(__xludf.DUMMYFUNCTION("""COMPUTED_VALUE"""),"01 trục cuốn dây curoa ex")</f>
        <v>01 trục cuốn dây curoa ex</v>
      </c>
      <c r="M332" s="46" t="str">
        <f>IFERROR(__xludf.DUMMYFUNCTION("""COMPUTED_VALUE"""),"01 côn điện tầng 50k")</f>
        <v>01 côn điện tầng 50k</v>
      </c>
      <c r="N332" s="46"/>
      <c r="O332" s="46"/>
      <c r="P332" s="46" t="str">
        <f>IFERROR(__xludf.DUMMYFUNCTION("""COMPUTED_VALUE"""),"Dây curoa pre rất chùng,trục đỡ dây curoa ex mòn không đều, trục gap tầng 50,500 kém.đang để dap c")</f>
        <v>Dây curoa pre rất chùng,trục đỡ dây curoa ex mòn không đều, trục gap tầng 50,500 kém.đang để dap c</v>
      </c>
      <c r="Q332" s="46" t="str">
        <f>IFERROR(__xludf.DUMMYFUNCTION("""COMPUTED_VALUE"""),"Hoàn thành")</f>
        <v>Hoàn thành</v>
      </c>
      <c r="R332" s="46"/>
      <c r="S332" s="46"/>
      <c r="T332" s="46"/>
      <c r="U332" s="46"/>
      <c r="V332" s="46"/>
      <c r="W332" s="46"/>
      <c r="X332" s="46"/>
      <c r="Y332" s="46"/>
      <c r="Z332" s="46"/>
      <c r="AA332" s="46"/>
    </row>
    <row r="333">
      <c r="A333" s="55">
        <f>IFERROR(__xludf.DUMMYFUNCTION("""COMPUTED_VALUE"""),44308.91005003473)</f>
        <v>44308.91005</v>
      </c>
      <c r="B333" s="56">
        <f>IFERROR(__xludf.DUMMYFUNCTION("""COMPUTED_VALUE"""),44308.0)</f>
        <v>44308</v>
      </c>
      <c r="C333" s="59" t="str">
        <f t="shared" si="3"/>
        <v/>
      </c>
      <c r="D333" s="46" t="str">
        <f>IFERROR(__xludf.DUMMYFUNCTION("""COMPUTED_VALUE"""),"thangnx")</f>
        <v>thangnx</v>
      </c>
      <c r="E333" s="57" t="str">
        <f>IFERROR(__xludf.DUMMYFUNCTION("""COMPUTED_VALUE"""),"5300380536")</f>
        <v>5300380536</v>
      </c>
      <c r="F333" s="46" t="str">
        <f>IFERROR(__xludf.DUMMYFUNCTION("""COMPUTED_VALUE"""),"PGD Khu Đông, xã Hùng Dũng, Hưng Hà, Thái Bình")</f>
        <v>PGD Khu Đông, xã Hùng Dũng, Hưng Hà, Thái Bình</v>
      </c>
      <c r="G333" s="46" t="str">
        <f>IFERROR(__xludf.DUMMYFUNCTION("""COMPUTED_VALUE"""),"Vỡ trục pre, vỡ trục ex1")</f>
        <v>Vỡ trục pre, vỡ trục ex1</v>
      </c>
      <c r="H333" s="46"/>
      <c r="I333" s="46"/>
      <c r="J333" s="46"/>
      <c r="K333" s="46" t="str">
        <f>IFERROR(__xludf.DUMMYFUNCTION("""COMPUTED_VALUE"""),"01 Presenter")</f>
        <v>01 Presenter</v>
      </c>
      <c r="L333" s="46" t="str">
        <f>IFERROR(__xludf.DUMMYFUNCTION("""COMPUTED_VALUE"""),"01 đôi dây cuaroa ex1")</f>
        <v>01 đôi dây cuaroa ex1</v>
      </c>
      <c r="M333" s="46" t="str">
        <f>IFERROR(__xludf.DUMMYFUNCTION("""COMPUTED_VALUE"""),"01 trục đỡ")</f>
        <v>01 trục đỡ</v>
      </c>
      <c r="N333" s="46" t="str">
        <f>IFERROR(__xludf.DUMMYFUNCTION("""COMPUTED_VALUE"""),"01 trục cuốn")</f>
        <v>01 trục cuốn</v>
      </c>
      <c r="O333" s="46"/>
      <c r="P333" s="46"/>
      <c r="Q333" s="46" t="str">
        <f>IFERROR(__xludf.DUMMYFUNCTION("""COMPUTED_VALUE"""),"Không hoàn thành")</f>
        <v>Không hoàn thành</v>
      </c>
      <c r="R333" s="46" t="str">
        <f>IFERROR(__xludf.DUMMYFUNCTION("""COMPUTED_VALUE"""),"Thay xong máy rút được 1 lúc báo lỗi 2-2 trong log, set jump B để test thử ex1 vẫn thấy lỗi")</f>
        <v>Thay xong máy rút được 1 lúc báo lỗi 2-2 trong log, set jump B để test thử ex1 vẫn thấy lỗi</v>
      </c>
      <c r="S333" s="46"/>
      <c r="T333" s="46"/>
      <c r="U333" s="46"/>
      <c r="V333" s="46"/>
      <c r="W333" s="46"/>
      <c r="X333" s="46"/>
      <c r="Y333" s="46"/>
      <c r="Z333" s="46"/>
      <c r="AA333" s="46"/>
    </row>
    <row r="334">
      <c r="A334" s="55">
        <f>IFERROR(__xludf.DUMMYFUNCTION("""COMPUTED_VALUE"""),44308.91626048611)</f>
        <v>44308.91626</v>
      </c>
      <c r="B334" s="56">
        <f>IFERROR(__xludf.DUMMYFUNCTION("""COMPUTED_VALUE"""),44308.0)</f>
        <v>44308</v>
      </c>
      <c r="C334" s="59" t="str">
        <f t="shared" si="3"/>
        <v/>
      </c>
      <c r="D334" s="46" t="str">
        <f>IFERROR(__xludf.DUMMYFUNCTION("""COMPUTED_VALUE"""),"Duclb")</f>
        <v>Duclb</v>
      </c>
      <c r="E334" s="57" t="str">
        <f>IFERROR(__xludf.DUMMYFUNCTION("""COMPUTED_VALUE"""),"5300380412")</f>
        <v>5300380412</v>
      </c>
      <c r="F334" s="46" t="str">
        <f>IFERROR(__xludf.DUMMYFUNCTION("""COMPUTED_VALUE"""),"Phố Lê Bình - TT Thanh Miện, H. Thanh Miện - T. Hải Dương")</f>
        <v>Phố Lê Bình - TT Thanh Miện, H. Thanh Miện - T. Hải Dương</v>
      </c>
      <c r="G334" s="46" t="str">
        <f>IFERROR(__xludf.DUMMYFUNCTION("""COMPUTED_VALUE"""),"Tiền loại nhiều, treo ứng dụng")</f>
        <v>Tiền loại nhiều, treo ứng dụng</v>
      </c>
      <c r="H334" s="46"/>
      <c r="I334" s="46"/>
      <c r="J334" s="46"/>
      <c r="K334" s="46" t="str">
        <f>IFERROR(__xludf.DUMMYFUNCTION("""COMPUTED_VALUE"""),"01 quạt chip")</f>
        <v>01 quạt chip</v>
      </c>
      <c r="L334" s="46" t="str">
        <f>IFERROR(__xludf.DUMMYFUNCTION("""COMPUTED_VALUE"""),"02 trục gap")</f>
        <v>02 trục gap</v>
      </c>
      <c r="M334" s="46"/>
      <c r="N334" s="46"/>
      <c r="O334" s="46"/>
      <c r="P334" s="46"/>
      <c r="Q334" s="46" t="str">
        <f>IFERROR(__xludf.DUMMYFUNCTION("""COMPUTED_VALUE"""),"Hoàn thành")</f>
        <v>Hoàn thành</v>
      </c>
      <c r="R334" s="46"/>
      <c r="S334" s="46"/>
      <c r="T334" s="46"/>
      <c r="U334" s="46"/>
      <c r="V334" s="46"/>
      <c r="W334" s="46"/>
      <c r="X334" s="46"/>
      <c r="Y334" s="46"/>
      <c r="Z334" s="46"/>
      <c r="AA334" s="46"/>
    </row>
    <row r="335">
      <c r="A335" s="55">
        <f>IFERROR(__xludf.DUMMYFUNCTION("""COMPUTED_VALUE"""),44308.91661778935)</f>
        <v>44308.91662</v>
      </c>
      <c r="B335" s="56">
        <f>IFERROR(__xludf.DUMMYFUNCTION("""COMPUTED_VALUE"""),44308.0)</f>
        <v>44308</v>
      </c>
      <c r="C335" s="59" t="str">
        <f t="shared" si="3"/>
        <v/>
      </c>
      <c r="D335" s="46" t="str">
        <f>IFERROR(__xludf.DUMMYFUNCTION("""COMPUTED_VALUE"""),"Duclb")</f>
        <v>Duclb</v>
      </c>
      <c r="E335" s="57" t="str">
        <f>IFERROR(__xludf.DUMMYFUNCTION("""COMPUTED_VALUE"""),"5310105833")</f>
        <v>5310105833</v>
      </c>
      <c r="F335" s="46" t="str">
        <f>IFERROR(__xludf.DUMMYFUNCTION("""COMPUTED_VALUE"""),"Agribank huyện Thanh Miện, số 163 Nguyễn Lương Bằng, thị trấn Thanh Miện, huyện Thanh Miện, Hải Dương")</f>
        <v>Agribank huyện Thanh Miện, số 163 Nguyễn Lương Bằng, thị trấn Thanh Miện, huyện Thanh Miện, Hải Dương</v>
      </c>
      <c r="G335" s="46" t="str">
        <f>IFERROR(__xludf.DUMMYFUNCTION("""COMPUTED_VALUE"""),"Tiền loại nhiều")</f>
        <v>Tiền loại nhiều</v>
      </c>
      <c r="H335" s="46"/>
      <c r="I335" s="46"/>
      <c r="J335" s="46" t="str">
        <f>IFERROR(__xludf.DUMMYFUNCTION("""COMPUTED_VALUE"""),"Đổi gap c tầng 100k")</f>
        <v>Đổi gap c tầng 100k</v>
      </c>
      <c r="K335" s="46"/>
      <c r="L335" s="46"/>
      <c r="M335" s="46"/>
      <c r="N335" s="46"/>
      <c r="O335" s="46"/>
      <c r="P335" s="46"/>
      <c r="Q335" s="46" t="str">
        <f>IFERROR(__xludf.DUMMYFUNCTION("""COMPUTED_VALUE"""),"Hoàn thành")</f>
        <v>Hoàn thành</v>
      </c>
      <c r="R335" s="46"/>
      <c r="S335" s="46"/>
      <c r="T335" s="46"/>
      <c r="U335" s="46"/>
      <c r="V335" s="46"/>
      <c r="W335" s="46"/>
      <c r="X335" s="46"/>
      <c r="Y335" s="46"/>
      <c r="Z335" s="46"/>
      <c r="AA335" s="46"/>
    </row>
    <row r="336">
      <c r="A336" s="55">
        <f>IFERROR(__xludf.DUMMYFUNCTION("""COMPUTED_VALUE"""),44309.37365844907)</f>
        <v>44309.37366</v>
      </c>
      <c r="B336" s="56">
        <f>IFERROR(__xludf.DUMMYFUNCTION("""COMPUTED_VALUE"""),44308.0)</f>
        <v>44308</v>
      </c>
      <c r="C336" s="59" t="str">
        <f t="shared" si="3"/>
        <v/>
      </c>
      <c r="D336" s="46" t="str">
        <f>IFERROR(__xludf.DUMMYFUNCTION("""COMPUTED_VALUE"""),"Tunt")</f>
        <v>Tunt</v>
      </c>
      <c r="E336" s="57" t="str">
        <f>IFERROR(__xludf.DUMMYFUNCTION("""COMPUTED_VALUE"""),"56HG707969")</f>
        <v>56HG707969</v>
      </c>
      <c r="F336" s="46" t="str">
        <f>IFERROR(__xludf.DUMMYFUNCTION("""COMPUTED_VALUE"""),"Nhà ga hành khách T1, tại Tầng 1 sảnh Công cộng, Cảng Hàng không Quốc Tế Nội Bài, Sóc Sơn, Hà Nội")</f>
        <v>Nhà ga hành khách T1, tại Tầng 1 sảnh Công cộng, Cảng Hàng không Quốc Tế Nội Bài, Sóc Sơn, Hà Nội</v>
      </c>
      <c r="G336" s="46" t="str">
        <f>IFERROR(__xludf.DUMMYFUNCTION("""COMPUTED_VALUE"""),"Lỗi phần mềm")</f>
        <v>Lỗi phần mềm</v>
      </c>
      <c r="H336" s="46"/>
      <c r="I336" s="46"/>
      <c r="J336" s="46" t="str">
        <f>IFERROR(__xludf.DUMMYFUNCTION("""COMPUTED_VALUE"""),"Ghost bản 21122020")</f>
        <v>Ghost bản 21122020</v>
      </c>
      <c r="K336" s="46"/>
      <c r="L336" s="46"/>
      <c r="M336" s="46"/>
      <c r="N336" s="46"/>
      <c r="O336" s="46"/>
      <c r="P336" s="46"/>
      <c r="Q336" s="46" t="str">
        <f>IFERROR(__xludf.DUMMYFUNCTION("""COMPUTED_VALUE"""),"Hoàn thành")</f>
        <v>Hoàn thành</v>
      </c>
      <c r="R336" s="46"/>
      <c r="S336" s="46"/>
      <c r="T336" s="46"/>
      <c r="U336" s="46"/>
      <c r="V336" s="46"/>
      <c r="W336" s="46"/>
      <c r="X336" s="46"/>
      <c r="Y336" s="46"/>
      <c r="Z336" s="46"/>
      <c r="AA336" s="46"/>
    </row>
    <row r="337">
      <c r="A337" s="55">
        <f>IFERROR(__xludf.DUMMYFUNCTION("""COMPUTED_VALUE"""),44309.374865000005)</f>
        <v>44309.37487</v>
      </c>
      <c r="B337" s="56">
        <f>IFERROR(__xludf.DUMMYFUNCTION("""COMPUTED_VALUE"""),44308.0)</f>
        <v>44308</v>
      </c>
      <c r="C337" s="59" t="str">
        <f t="shared" si="3"/>
        <v/>
      </c>
      <c r="D337" s="46" t="str">
        <f>IFERROR(__xludf.DUMMYFUNCTION("""COMPUTED_VALUE"""),"Tunt")</f>
        <v>Tunt</v>
      </c>
      <c r="E337" s="57" t="str">
        <f>IFERROR(__xludf.DUMMYFUNCTION("""COMPUTED_VALUE"""),"56HG707947")</f>
        <v>56HG707947</v>
      </c>
      <c r="F337" s="46" t="str">
        <f>IFERROR(__xludf.DUMMYFUNCTION("""COMPUTED_VALUE"""),"98A - Ngụy Như Kon Tum - Nhân Chính – Thanh Xuân – Hà Nội")</f>
        <v>98A - Ngụy Như Kon Tum - Nhân Chính – Thanh Xuân – Hà Nội</v>
      </c>
      <c r="G337" s="46" t="str">
        <f>IFERROR(__xludf.DUMMYFUNCTION("""COMPUTED_VALUE"""),"Lỗi 0-1")</f>
        <v>Lỗi 0-1</v>
      </c>
      <c r="H337" s="46"/>
      <c r="I337" s="46"/>
      <c r="J337" s="46" t="str">
        <f>IFERROR(__xludf.DUMMYFUNCTION("""COMPUTED_VALUE"""),"Thay pin bo ngang")</f>
        <v>Thay pin bo ngang</v>
      </c>
      <c r="K337" s="46"/>
      <c r="L337" s="46"/>
      <c r="M337" s="46"/>
      <c r="N337" s="46"/>
      <c r="O337" s="46"/>
      <c r="P337" s="46"/>
      <c r="Q337" s="46" t="str">
        <f>IFERROR(__xludf.DUMMYFUNCTION("""COMPUTED_VALUE"""),"Hoàn thành")</f>
        <v>Hoàn thành</v>
      </c>
      <c r="R337" s="46"/>
      <c r="S337" s="46"/>
      <c r="T337" s="46"/>
      <c r="U337" s="46"/>
      <c r="V337" s="46"/>
      <c r="W337" s="46"/>
      <c r="X337" s="46"/>
      <c r="Y337" s="46"/>
      <c r="Z337" s="46"/>
      <c r="AA337" s="46"/>
    </row>
    <row r="338">
      <c r="A338" s="55">
        <f>IFERROR(__xludf.DUMMYFUNCTION("""COMPUTED_VALUE"""),44309.74902982639)</f>
        <v>44309.74903</v>
      </c>
      <c r="B338" s="56">
        <f>IFERROR(__xludf.DUMMYFUNCTION("""COMPUTED_VALUE"""),44309.0)</f>
        <v>44309</v>
      </c>
      <c r="C338" s="59" t="str">
        <f t="shared" si="3"/>
        <v/>
      </c>
      <c r="D338" s="46" t="str">
        <f>IFERROR(__xludf.DUMMYFUNCTION("""COMPUTED_VALUE"""),"Tuanva")</f>
        <v>Tuanva</v>
      </c>
      <c r="E338" s="57" t="str">
        <f>IFERROR(__xludf.DUMMYFUNCTION("""COMPUTED_VALUE"""),"5310105856")</f>
        <v>5310105856</v>
      </c>
      <c r="F338" s="46" t="str">
        <f>IFERROR(__xludf.DUMMYFUNCTION("""COMPUTED_VALUE"""),"Thị trấn Như Quỳnh (tòa nhà 5 tầng), huyện Văn Lâm, Hưng Yên")</f>
        <v>Thị trấn Như Quỳnh (tòa nhà 5 tầng), huyện Văn Lâm, Hưng Yên</v>
      </c>
      <c r="G338" s="46" t="str">
        <f>IFERROR(__xludf.DUMMYFUNCTION("""COMPUTED_VALUE"""),"Máy báo lỗi shutter ")</f>
        <v>Máy báo lỗi shutter </v>
      </c>
      <c r="H338" s="46"/>
      <c r="I338" s="46"/>
      <c r="J338" s="46" t="str">
        <f>IFERROR(__xludf.DUMMYFUNCTION("""COMPUTED_VALUE"""),"Vệ sinh sensor cửa,răm B,học lại tiền")</f>
        <v>Vệ sinh sensor cửa,răm B,học lại tiền</v>
      </c>
      <c r="K338" s="46"/>
      <c r="L338" s="46"/>
      <c r="M338" s="46"/>
      <c r="N338" s="46"/>
      <c r="O338" s="46"/>
      <c r="P338" s="46"/>
      <c r="Q338" s="46" t="str">
        <f>IFERROR(__xludf.DUMMYFUNCTION("""COMPUTED_VALUE"""),"Hoàn thành")</f>
        <v>Hoàn thành</v>
      </c>
      <c r="R338" s="46"/>
      <c r="S338" s="46"/>
      <c r="T338" s="46"/>
      <c r="U338" s="46"/>
      <c r="V338" s="46"/>
      <c r="W338" s="46"/>
      <c r="X338" s="46"/>
      <c r="Y338" s="46"/>
      <c r="Z338" s="46"/>
      <c r="AA338" s="46"/>
    </row>
    <row r="339">
      <c r="A339" s="55">
        <f>IFERROR(__xludf.DUMMYFUNCTION("""COMPUTED_VALUE"""),44309.88568177083)</f>
        <v>44309.88568</v>
      </c>
      <c r="B339" s="56">
        <f>IFERROR(__xludf.DUMMYFUNCTION("""COMPUTED_VALUE"""),44308.0)</f>
        <v>44308</v>
      </c>
      <c r="C339" s="59" t="str">
        <f t="shared" si="3"/>
        <v/>
      </c>
      <c r="D339" s="46" t="str">
        <f>IFERROR(__xludf.DUMMYFUNCTION("""COMPUTED_VALUE"""),"Thuongd")</f>
        <v>Thuongd</v>
      </c>
      <c r="E339" s="57" t="str">
        <f>IFERROR(__xludf.DUMMYFUNCTION("""COMPUTED_VALUE"""),"5310181235")</f>
        <v>5310181235</v>
      </c>
      <c r="F339" s="46" t="str">
        <f>IFERROR(__xludf.DUMMYFUNCTION("""COMPUTED_VALUE"""),"Số 01, đường Phan Đình Phùng, TP Hà Tĩnh")</f>
        <v>Số 01, đường Phan Đình Phùng, TP Hà Tĩnh</v>
      </c>
      <c r="G339" s="46" t="str">
        <f>IFERROR(__xludf.DUMMYFUNCTION("""COMPUTED_VALUE"""),"Bảo trì")</f>
        <v>Bảo trì</v>
      </c>
      <c r="H339" s="46"/>
      <c r="I339" s="46"/>
      <c r="J339" s="46" t="str">
        <f>IFERROR(__xludf.DUMMYFUNCTION("""COMPUTED_VALUE"""),"Vệ sinh atm")</f>
        <v>Vệ sinh atm</v>
      </c>
      <c r="K339" s="46"/>
      <c r="L339" s="46"/>
      <c r="M339" s="46"/>
      <c r="N339" s="46"/>
      <c r="O339" s="46"/>
      <c r="P339" s="46"/>
      <c r="Q339" s="46" t="str">
        <f>IFERROR(__xludf.DUMMYFUNCTION("""COMPUTED_VALUE"""),"Hoàn thành")</f>
        <v>Hoàn thành</v>
      </c>
      <c r="R339" s="46"/>
      <c r="S339" s="46"/>
      <c r="T339" s="46"/>
      <c r="U339" s="46"/>
      <c r="V339" s="46"/>
      <c r="W339" s="46"/>
      <c r="X339" s="46"/>
      <c r="Y339" s="46"/>
      <c r="Z339" s="46"/>
      <c r="AA339" s="46"/>
    </row>
    <row r="340">
      <c r="A340" s="55">
        <f>IFERROR(__xludf.DUMMYFUNCTION("""COMPUTED_VALUE"""),44309.88651210648)</f>
        <v>44309.88651</v>
      </c>
      <c r="B340" s="56">
        <f>IFERROR(__xludf.DUMMYFUNCTION("""COMPUTED_VALUE"""),44309.0)</f>
        <v>44309</v>
      </c>
      <c r="C340" s="59" t="str">
        <f t="shared" si="3"/>
        <v/>
      </c>
      <c r="D340" s="46" t="str">
        <f>IFERROR(__xludf.DUMMYFUNCTION("""COMPUTED_VALUE"""),"Thuongd")</f>
        <v>Thuongd</v>
      </c>
      <c r="E340" s="57" t="str">
        <f>IFERROR(__xludf.DUMMYFUNCTION("""COMPUTED_VALUE"""),"5300380318")</f>
        <v>5300380318</v>
      </c>
      <c r="F340" s="46" t="str">
        <f>IFERROR(__xludf.DUMMYFUNCTION("""COMPUTED_VALUE"""),"Đường 1 A Thị trấn Kỳ Anh")</f>
        <v>Đường 1 A Thị trấn Kỳ Anh</v>
      </c>
      <c r="G340" s="46" t="str">
        <f>IFERROR(__xludf.DUMMYFUNCTION("""COMPUTED_VALUE"""),"Máy in hoá đơn lỗi, tiền loại nhiều")</f>
        <v>Máy in hoá đơn lỗi, tiền loại nhiều</v>
      </c>
      <c r="H340" s="46"/>
      <c r="I340" s="46"/>
      <c r="J340" s="46" t="str">
        <f>IFERROR(__xludf.DUMMYFUNCTION("""COMPUTED_VALUE"""),"Thay máy in, thay trục GAP")</f>
        <v>Thay máy in, thay trục GAP</v>
      </c>
      <c r="K340" s="46"/>
      <c r="L340" s="46"/>
      <c r="M340" s="46"/>
      <c r="N340" s="46"/>
      <c r="O340" s="46"/>
      <c r="P340" s="46"/>
      <c r="Q340" s="46" t="str">
        <f>IFERROR(__xludf.DUMMYFUNCTION("""COMPUTED_VALUE"""),"Hoàn thành")</f>
        <v>Hoàn thành</v>
      </c>
      <c r="R340" s="46"/>
      <c r="S340" s="46"/>
      <c r="T340" s="46"/>
      <c r="U340" s="46"/>
      <c r="V340" s="46"/>
      <c r="W340" s="46"/>
      <c r="X340" s="46"/>
      <c r="Y340" s="46"/>
      <c r="Z340" s="46"/>
      <c r="AA340" s="46"/>
    </row>
    <row r="341">
      <c r="A341" s="55">
        <f>IFERROR(__xludf.DUMMYFUNCTION("""COMPUTED_VALUE"""),44309.88885458333)</f>
        <v>44309.88885</v>
      </c>
      <c r="B341" s="56">
        <f>IFERROR(__xludf.DUMMYFUNCTION("""COMPUTED_VALUE"""),44308.0)</f>
        <v>44308</v>
      </c>
      <c r="C341" s="59" t="str">
        <f t="shared" si="3"/>
        <v/>
      </c>
      <c r="D341" s="46" t="str">
        <f>IFERROR(__xludf.DUMMYFUNCTION("""COMPUTED_VALUE"""),"Hieppn")</f>
        <v>Hieppn</v>
      </c>
      <c r="E341" s="57" t="str">
        <f>IFERROR(__xludf.DUMMYFUNCTION("""COMPUTED_VALUE"""),"5310107361")</f>
        <v>5310107361</v>
      </c>
      <c r="F341" s="46" t="str">
        <f>IFERROR(__xludf.DUMMYFUNCTION("""COMPUTED_VALUE"""),"Số 751 đường Cù Chính Lan, phường Phương Lâm, TP. Hòa Bình")</f>
        <v>Số 751 đường Cù Chính Lan, phường Phương Lâm, TP. Hòa Bình</v>
      </c>
      <c r="G341" s="46" t="str">
        <f>IFERROR(__xludf.DUMMYFUNCTION("""COMPUTED_VALUE"""),"Tiền bắn ra sân ở mệnh giá 50,100k")</f>
        <v>Tiền bắn ra sân ở mệnh giá 50,100k</v>
      </c>
      <c r="H341" s="46"/>
      <c r="I341" s="46"/>
      <c r="J341" s="46" t="str">
        <f>IFERROR(__xludf.DUMMYFUNCTION("""COMPUTED_VALUE"""),"Vệ sinh và thay thế")</f>
        <v>Vệ sinh và thay thế</v>
      </c>
      <c r="K341" s="46" t="str">
        <f>IFERROR(__xludf.DUMMYFUNCTION("""COMPUTED_VALUE"""),"01 trục đỡ ")</f>
        <v>01 trục đỡ </v>
      </c>
      <c r="L341" s="46" t="str">
        <f>IFERROR(__xludf.DUMMYFUNCTION("""COMPUTED_VALUE"""),"01 trục cuốn ")</f>
        <v>01 trục cuốn </v>
      </c>
      <c r="M341" s="46" t="str">
        <f>IFERROR(__xludf.DUMMYFUNCTION("""COMPUTED_VALUE"""),"02 dây curoa")</f>
        <v>02 dây curoa</v>
      </c>
      <c r="N341" s="46"/>
      <c r="O341" s="46"/>
      <c r="P341" s="46"/>
      <c r="Q341" s="46" t="str">
        <f>IFERROR(__xludf.DUMMYFUNCTION("""COMPUTED_VALUE"""),"Hoàn thành")</f>
        <v>Hoàn thành</v>
      </c>
      <c r="R341" s="46"/>
      <c r="S341" s="46"/>
      <c r="T341" s="46"/>
      <c r="U341" s="46"/>
      <c r="V341" s="46"/>
      <c r="W341" s="46"/>
      <c r="X341" s="46"/>
      <c r="Y341" s="46"/>
      <c r="Z341" s="46"/>
      <c r="AA341" s="46"/>
    </row>
    <row r="342">
      <c r="A342" s="55">
        <f>IFERROR(__xludf.DUMMYFUNCTION("""COMPUTED_VALUE"""),44309.903137719906)</f>
        <v>44309.90314</v>
      </c>
      <c r="B342" s="56">
        <f>IFERROR(__xludf.DUMMYFUNCTION("""COMPUTED_VALUE"""),44309.0)</f>
        <v>44309</v>
      </c>
      <c r="C342" s="59" t="str">
        <f t="shared" si="3"/>
        <v/>
      </c>
      <c r="D342" s="46" t="str">
        <f>IFERROR(__xludf.DUMMYFUNCTION("""COMPUTED_VALUE"""),"Hieppn")</f>
        <v>Hieppn</v>
      </c>
      <c r="E342" s="57" t="str">
        <f>IFERROR(__xludf.DUMMYFUNCTION("""COMPUTED_VALUE"""),"5310106185")</f>
        <v>5310106185</v>
      </c>
      <c r="F342" s="46" t="str">
        <f>IFERROR(__xludf.DUMMYFUNCTION("""COMPUTED_VALUE"""),"Khu 5 thị trấn Kim Tân, Thạch Thành, huyện Thạch Thành, Thanh Hóa")</f>
        <v>Khu 5 thị trấn Kim Tân, Thạch Thành, huyện Thạch Thành, Thanh Hóa</v>
      </c>
      <c r="G342" s="46" t="str">
        <f>IFERROR(__xludf.DUMMYFUNCTION("""COMPUTED_VALUE"""),"Lỗi sensor transport way")</f>
        <v>Lỗi sensor transport way</v>
      </c>
      <c r="H342" s="46"/>
      <c r="I342" s="46"/>
      <c r="J342" s="46" t="str">
        <f>IFERROR(__xludf.DUMMYFUNCTION("""COMPUTED_VALUE"""),"Vệ sinh và cắm lại cáp")</f>
        <v>Vệ sinh và cắm lại cáp</v>
      </c>
      <c r="K342" s="46"/>
      <c r="L342" s="46"/>
      <c r="M342" s="46"/>
      <c r="N342" s="46"/>
      <c r="O342" s="46"/>
      <c r="P342" s="46"/>
      <c r="Q342" s="46" t="str">
        <f>IFERROR(__xludf.DUMMYFUNCTION("""COMPUTED_VALUE"""),"Hoàn thành")</f>
        <v>Hoàn thành</v>
      </c>
      <c r="R342" s="46"/>
      <c r="S342" s="46"/>
      <c r="T342" s="46"/>
      <c r="U342" s="46"/>
      <c r="V342" s="46"/>
      <c r="W342" s="46"/>
      <c r="X342" s="46"/>
      <c r="Y342" s="46"/>
      <c r="Z342" s="46"/>
      <c r="AA342" s="46"/>
    </row>
    <row r="343">
      <c r="A343" s="55">
        <f>IFERROR(__xludf.DUMMYFUNCTION("""COMPUTED_VALUE"""),44310.55390046297)</f>
        <v>44310.5539</v>
      </c>
      <c r="B343" s="56">
        <f>IFERROR(__xludf.DUMMYFUNCTION("""COMPUTED_VALUE"""),44310.0)</f>
        <v>44310</v>
      </c>
      <c r="C343" s="59" t="str">
        <f t="shared" si="3"/>
        <v/>
      </c>
      <c r="D343" s="46" t="str">
        <f>IFERROR(__xludf.DUMMYFUNCTION("""COMPUTED_VALUE"""),"thangnx")</f>
        <v>thangnx</v>
      </c>
      <c r="E343" s="57" t="str">
        <f>IFERROR(__xludf.DUMMYFUNCTION("""COMPUTED_VALUE"""),"56HGL03517")</f>
        <v>56HGL03517</v>
      </c>
      <c r="F343" s="46" t="str">
        <f>IFERROR(__xludf.DUMMYFUNCTION("""COMPUTED_VALUE"""),"KCN Đồng Văn I, Duy Tiên, Hà Nam")</f>
        <v>KCN Đồng Văn I, Duy Tiên, Hà Nam</v>
      </c>
      <c r="G343" s="46" t="str">
        <f>IFERROR(__xludf.DUMMYFUNCTION("""COMPUTED_VALUE"""),"Lỗi 0-1, 1-1")</f>
        <v>Lỗi 0-1, 1-1</v>
      </c>
      <c r="H343" s="46"/>
      <c r="I343" s="46"/>
      <c r="J343" s="46" t="str">
        <f>IFERROR(__xludf.DUMMYFUNCTION("""COMPUTED_VALUE"""),"load firmware mới")</f>
        <v>load firmware mới</v>
      </c>
      <c r="K343" s="46"/>
      <c r="L343" s="46"/>
      <c r="M343" s="46"/>
      <c r="N343" s="46"/>
      <c r="O343" s="46"/>
      <c r="P343" s="46"/>
      <c r="Q343" s="46" t="str">
        <f>IFERROR(__xludf.DUMMYFUNCTION("""COMPUTED_VALUE"""),"Hoàn thành")</f>
        <v>Hoàn thành</v>
      </c>
      <c r="R343" s="46"/>
      <c r="S343" s="46"/>
      <c r="T343" s="46"/>
      <c r="U343" s="46"/>
      <c r="V343" s="46"/>
      <c r="W343" s="46"/>
      <c r="X343" s="46"/>
      <c r="Y343" s="46"/>
      <c r="Z343" s="46"/>
      <c r="AA343" s="46"/>
    </row>
    <row r="344">
      <c r="A344" s="55">
        <f>IFERROR(__xludf.DUMMYFUNCTION("""COMPUTED_VALUE"""),44312.4318205787)</f>
        <v>44312.43182</v>
      </c>
      <c r="B344" s="56">
        <f>IFERROR(__xludf.DUMMYFUNCTION("""COMPUTED_VALUE"""),44308.0)</f>
        <v>44308</v>
      </c>
      <c r="C344" s="59" t="str">
        <f t="shared" si="3"/>
        <v>Báo cáo muộn</v>
      </c>
      <c r="D344" s="46" t="str">
        <f>IFERROR(__xludf.DUMMYFUNCTION("""COMPUTED_VALUE"""),"phuongtv")</f>
        <v>phuongtv</v>
      </c>
      <c r="E344" s="57" t="str">
        <f>IFERROR(__xludf.DUMMYFUNCTION("""COMPUTED_VALUE"""),"5310107064")</f>
        <v>5310107064</v>
      </c>
      <c r="F344" s="46" t="str">
        <f>IFERROR(__xludf.DUMMYFUNCTION("""COMPUTED_VALUE"""),"Số 28 đường Minh Khai, phường Đông Ngàn, thị xã Từ Sơn, Bắc Ninh")</f>
        <v>Số 28 đường Minh Khai, phường Đông Ngàn, thị xã Từ Sơn, Bắc Ninh</v>
      </c>
      <c r="G344" s="46" t="str">
        <f>IFERROR(__xludf.DUMMYFUNCTION("""COMPUTED_VALUE"""),"Rác nhiều")</f>
        <v>Rác nhiều</v>
      </c>
      <c r="H344" s="46"/>
      <c r="I344" s="46"/>
      <c r="J344" s="46" t="str">
        <f>IFERROR(__xludf.DUMMYFUNCTION("""COMPUTED_VALUE"""),"Thay trục GAP, răng lược")</f>
        <v>Thay trục GAP, răng lược</v>
      </c>
      <c r="K344" s="46" t="str">
        <f>IFERROR(__xludf.DUMMYFUNCTION("""COMPUTED_VALUE"""),"02 trục GAP Ex34")</f>
        <v>02 trục GAP Ex34</v>
      </c>
      <c r="L344" s="46" t="str">
        <f>IFERROR(__xludf.DUMMYFUNCTION("""COMPUTED_VALUE"""),"01 răng lược Ex4")</f>
        <v>01 răng lược Ex4</v>
      </c>
      <c r="M344" s="46"/>
      <c r="N344" s="46"/>
      <c r="O344" s="46"/>
      <c r="P344" s="46" t="str">
        <f>IFERROR(__xludf.DUMMYFUNCTION("""COMPUTED_VALUE"""),"EX tầng 1 kém")</f>
        <v>EX tầng 1 kém</v>
      </c>
      <c r="Q344" s="46" t="str">
        <f>IFERROR(__xludf.DUMMYFUNCTION("""COMPUTED_VALUE"""),"Hoàn thành")</f>
        <v>Hoàn thành</v>
      </c>
      <c r="R344" s="46"/>
      <c r="S344" s="46"/>
      <c r="T344" s="46"/>
      <c r="U344" s="46"/>
      <c r="V344" s="46"/>
      <c r="W344" s="46"/>
      <c r="X344" s="46"/>
      <c r="Y344" s="46"/>
      <c r="Z344" s="46"/>
      <c r="AA344" s="46"/>
    </row>
    <row r="345">
      <c r="A345" s="55">
        <f>IFERROR(__xludf.DUMMYFUNCTION("""COMPUTED_VALUE"""),44312.46127402778)</f>
        <v>44312.46127</v>
      </c>
      <c r="B345" s="56">
        <f>IFERROR(__xludf.DUMMYFUNCTION("""COMPUTED_VALUE"""),44308.0)</f>
        <v>44308</v>
      </c>
      <c r="C345" s="59" t="str">
        <f t="shared" si="3"/>
        <v>Báo cáo muộn</v>
      </c>
      <c r="D345" s="46" t="str">
        <f>IFERROR(__xludf.DUMMYFUNCTION("""COMPUTED_VALUE"""),"Bannt")</f>
        <v>Bannt</v>
      </c>
      <c r="E345" s="57" t="str">
        <f>IFERROR(__xludf.DUMMYFUNCTION("""COMPUTED_VALUE"""),"5310107036")</f>
        <v>5310107036</v>
      </c>
      <c r="F345" s="46" t="str">
        <f>IFERROR(__xludf.DUMMYFUNCTION("""COMPUTED_VALUE"""),"Thị trấn Đình Cả, Võ Nhai, huyện Võ Nhai, Thái Nguyên")</f>
        <v>Thị trấn Đình Cả, Võ Nhai, huyện Võ Nhai, Thái Nguyên</v>
      </c>
      <c r="G345" s="46" t="str">
        <f>IFERROR(__xludf.DUMMYFUNCTION("""COMPUTED_VALUE"""),"Lỗi clamp")</f>
        <v>Lỗi clamp</v>
      </c>
      <c r="H345" s="46"/>
      <c r="I345" s="46"/>
      <c r="J345" s="46" t="str">
        <f>IFERROR(__xludf.DUMMYFUNCTION("""COMPUTED_VALUE"""),"Thay thế clamp bị lỗi")</f>
        <v>Thay thế clamp bị lỗi</v>
      </c>
      <c r="K345" s="46"/>
      <c r="L345" s="46"/>
      <c r="M345" s="46"/>
      <c r="N345" s="46"/>
      <c r="O345" s="46"/>
      <c r="P345" s="46"/>
      <c r="Q345" s="46" t="str">
        <f>IFERROR(__xludf.DUMMYFUNCTION("""COMPUTED_VALUE"""),"Hoàn thành")</f>
        <v>Hoàn thành</v>
      </c>
      <c r="R345" s="46"/>
      <c r="S345" s="46"/>
      <c r="T345" s="46"/>
      <c r="U345" s="46"/>
      <c r="V345" s="46"/>
      <c r="W345" s="46"/>
      <c r="X345" s="46"/>
      <c r="Y345" s="46"/>
      <c r="Z345" s="46"/>
      <c r="AA345" s="46"/>
    </row>
    <row r="346">
      <c r="A346" s="55">
        <f>IFERROR(__xludf.DUMMYFUNCTION("""COMPUTED_VALUE"""),44312.466788935184)</f>
        <v>44312.46679</v>
      </c>
      <c r="B346" s="56">
        <f>IFERROR(__xludf.DUMMYFUNCTION("""COMPUTED_VALUE"""),44309.0)</f>
        <v>44309</v>
      </c>
      <c r="C346" s="59" t="str">
        <f t="shared" si="3"/>
        <v>Báo cáo muộn</v>
      </c>
      <c r="D346" s="46" t="str">
        <f>IFERROR(__xludf.DUMMYFUNCTION("""COMPUTED_VALUE"""),"Bannt")</f>
        <v>Bannt</v>
      </c>
      <c r="E346" s="57" t="str">
        <f>IFERROR(__xludf.DUMMYFUNCTION("""COMPUTED_VALUE"""),"56HG805391")</f>
        <v>56HG805391</v>
      </c>
      <c r="F346" s="46" t="str">
        <f>IFERROR(__xludf.DUMMYFUNCTION("""COMPUTED_VALUE"""),"Chi nhánh Thanh Trì - Ban chỉ huy quân sự huyện Thường Tín")</f>
        <v>Chi nhánh Thanh Trì - Ban chỉ huy quân sự huyện Thường Tín</v>
      </c>
      <c r="G346" s="46" t="str">
        <f>IFERROR(__xludf.DUMMYFUNCTION("""COMPUTED_VALUE"""),"Lỗi kẹt tiền, không lên được tiền khay 500")</f>
        <v>Lỗi kẹt tiền, không lên được tiền khay 500</v>
      </c>
      <c r="H346" s="46"/>
      <c r="I346" s="46"/>
      <c r="J346" s="46" t="str">
        <f>IFERROR(__xludf.DUMMYFUNCTION("""COMPUTED_VALUE"""),"Căn chỉnh ,bảo trì lại BPTT")</f>
        <v>Căn chỉnh ,bảo trì lại BPTT</v>
      </c>
      <c r="K346" s="46" t="str">
        <f>IFERROR(__xludf.DUMMYFUNCTION("""COMPUTED_VALUE"""),"01 côn điện")</f>
        <v>01 côn điện</v>
      </c>
      <c r="L346" s="46"/>
      <c r="M346" s="46"/>
      <c r="N346" s="46"/>
      <c r="O346" s="46"/>
      <c r="P346" s="46"/>
      <c r="Q346" s="46" t="str">
        <f>IFERROR(__xludf.DUMMYFUNCTION("""COMPUTED_VALUE"""),"Hoàn thành")</f>
        <v>Hoàn thành</v>
      </c>
      <c r="R346" s="46"/>
      <c r="S346" s="46"/>
      <c r="T346" s="46"/>
      <c r="U346" s="46"/>
      <c r="V346" s="46"/>
      <c r="W346" s="46"/>
      <c r="X346" s="46"/>
      <c r="Y346" s="46"/>
      <c r="Z346" s="46"/>
      <c r="AA346" s="46"/>
    </row>
    <row r="347">
      <c r="A347" s="55">
        <f>IFERROR(__xludf.DUMMYFUNCTION("""COMPUTED_VALUE"""),44312.638858148144)</f>
        <v>44312.63886</v>
      </c>
      <c r="B347" s="56">
        <f>IFERROR(__xludf.DUMMYFUNCTION("""COMPUTED_VALUE"""),44312.0)</f>
        <v>44312</v>
      </c>
      <c r="C347" s="59" t="str">
        <f t="shared" si="3"/>
        <v/>
      </c>
      <c r="D347" s="46" t="str">
        <f>IFERROR(__xludf.DUMMYFUNCTION("""COMPUTED_VALUE"""),"HaNH")</f>
        <v>HaNH</v>
      </c>
      <c r="E347" s="57" t="str">
        <f>IFERROR(__xludf.DUMMYFUNCTION("""COMPUTED_VALUE"""),"56HGL03517")</f>
        <v>56HGL03517</v>
      </c>
      <c r="F347" s="46" t="str">
        <f>IFERROR(__xludf.DUMMYFUNCTION("""COMPUTED_VALUE"""),"KCN Đồng Văn I, Duy Tiên, Hà Nam")</f>
        <v>KCN Đồng Văn I, Duy Tiên, Hà Nam</v>
      </c>
      <c r="G347" s="46" t="str">
        <f>IFERROR(__xludf.DUMMYFUNCTION("""COMPUTED_VALUE"""),"Đầu đọc thẻ không chạy, lỗi bộ phận trả tiền")</f>
        <v>Đầu đọc thẻ không chạy, lỗi bộ phận trả tiền</v>
      </c>
      <c r="H347" s="46"/>
      <c r="I347" s="46"/>
      <c r="J347" s="46" t="str">
        <f>IFERROR(__xludf.DUMMYFUNCTION("""COMPUTED_VALUE"""),"Vệ sinh đầu đọc thẻ, vệ sinh 2 ex thay bo ngang, học lại tiền (tầng 10k chưa học được vì khay hết tiền)")</f>
        <v>Vệ sinh đầu đọc thẻ, vệ sinh 2 ex thay bo ngang, học lại tiền (tầng 10k chưa học được vì khay hết tiền)</v>
      </c>
      <c r="K347" s="46"/>
      <c r="L347" s="46"/>
      <c r="M347" s="46"/>
      <c r="N347" s="46"/>
      <c r="O347" s="46"/>
      <c r="P347" s="46"/>
      <c r="Q347" s="46" t="str">
        <f>IFERROR(__xludf.DUMMYFUNCTION("""COMPUTED_VALUE"""),"Hoàn thành")</f>
        <v>Hoàn thành</v>
      </c>
      <c r="R347" s="46"/>
      <c r="S347" s="46"/>
      <c r="T347" s="46"/>
      <c r="U347" s="46"/>
      <c r="V347" s="46"/>
      <c r="W347" s="46"/>
      <c r="X347" s="46"/>
      <c r="Y347" s="46"/>
      <c r="Z347" s="46"/>
      <c r="AA347" s="46"/>
    </row>
    <row r="348">
      <c r="A348" s="55">
        <f>IFERROR(__xludf.DUMMYFUNCTION("""COMPUTED_VALUE"""),44312.92729892361)</f>
        <v>44312.9273</v>
      </c>
      <c r="B348" s="56">
        <f>IFERROR(__xludf.DUMMYFUNCTION("""COMPUTED_VALUE"""),44312.0)</f>
        <v>44312</v>
      </c>
      <c r="C348" s="59" t="str">
        <f t="shared" si="3"/>
        <v/>
      </c>
      <c r="D348" s="46" t="str">
        <f>IFERROR(__xludf.DUMMYFUNCTION("""COMPUTED_VALUE"""),"Thuongd")</f>
        <v>Thuongd</v>
      </c>
      <c r="E348" s="57" t="str">
        <f>IFERROR(__xludf.DUMMYFUNCTION("""COMPUTED_VALUE"""),"5310182771")</f>
        <v>5310182771</v>
      </c>
      <c r="F348" s="46" t="str">
        <f>IFERROR(__xludf.DUMMYFUNCTION("""COMPUTED_VALUE"""),"Khối 10 - TT Thanh Chương, Huyện Thanh Chương, tỉnh Nghệ An")</f>
        <v>Khối 10 - TT Thanh Chương, Huyện Thanh Chương, tỉnh Nghệ An</v>
      </c>
      <c r="G348" s="46" t="str">
        <f>IFERROR(__xludf.DUMMYFUNCTION("""COMPUTED_VALUE"""),"Đầu đọc thẻ")</f>
        <v>Đầu đọc thẻ</v>
      </c>
      <c r="H348" s="46"/>
      <c r="I348" s="46"/>
      <c r="J348" s="46" t="str">
        <f>IFERROR(__xludf.DUMMYFUNCTION("""COMPUTED_VALUE"""),"Sửa dây nguồn đầu đọc thẻ")</f>
        <v>Sửa dây nguồn đầu đọc thẻ</v>
      </c>
      <c r="K348" s="46"/>
      <c r="L348" s="46"/>
      <c r="M348" s="46"/>
      <c r="N348" s="46"/>
      <c r="O348" s="46"/>
      <c r="P348" s="46"/>
      <c r="Q348" s="46" t="str">
        <f>IFERROR(__xludf.DUMMYFUNCTION("""COMPUTED_VALUE"""),"Hoàn thành")</f>
        <v>Hoàn thành</v>
      </c>
      <c r="R348" s="46"/>
      <c r="S348" s="46"/>
      <c r="T348" s="46"/>
      <c r="U348" s="46"/>
      <c r="V348" s="46"/>
      <c r="W348" s="46"/>
      <c r="X348" s="46"/>
      <c r="Y348" s="46"/>
      <c r="Z348" s="46"/>
      <c r="AA348" s="46"/>
    </row>
    <row r="349">
      <c r="A349" s="55">
        <f>IFERROR(__xludf.DUMMYFUNCTION("""COMPUTED_VALUE"""),44313.28910768518)</f>
        <v>44313.28911</v>
      </c>
      <c r="B349" s="56">
        <f>IFERROR(__xludf.DUMMYFUNCTION("""COMPUTED_VALUE"""),44312.0)</f>
        <v>44312</v>
      </c>
      <c r="C349" s="59" t="str">
        <f t="shared" si="3"/>
        <v/>
      </c>
      <c r="D349" s="46" t="str">
        <f>IFERROR(__xludf.DUMMYFUNCTION("""COMPUTED_VALUE"""),"Tunt")</f>
        <v>Tunt</v>
      </c>
      <c r="E349" s="57" t="str">
        <f>IFERROR(__xludf.DUMMYFUNCTION("""COMPUTED_VALUE"""),"56HGL03544")</f>
        <v>56HGL03544</v>
      </c>
      <c r="F349" s="46" t="str">
        <f>IFERROR(__xludf.DUMMYFUNCTION("""COMPUTED_VALUE"""),"Bệnh viện 105, Trung Sơn Trầm, tx Sơn Tây, TP Hà Nội.")</f>
        <v>Bệnh viện 105, Trung Sơn Trầm, tx Sơn Tây, TP Hà Nội.</v>
      </c>
      <c r="G349" s="46" t="str">
        <f>IFERROR(__xludf.DUMMYFUNCTION("""COMPUTED_VALUE"""),"Bảo trì")</f>
        <v>Bảo trì</v>
      </c>
      <c r="H349" s="46"/>
      <c r="I349" s="46" t="str">
        <f>IFERROR(__xludf.DUMMYFUNCTION("""COMPUTED_VALUE"""),"Bảo trì")</f>
        <v>Bảo trì</v>
      </c>
      <c r="J349" s="46" t="str">
        <f>IFERROR(__xludf.DUMMYFUNCTION("""COMPUTED_VALUE"""),"Bảo trì")</f>
        <v>Bảo trì</v>
      </c>
      <c r="K349" s="46"/>
      <c r="L349" s="46"/>
      <c r="M349" s="46"/>
      <c r="N349" s="46"/>
      <c r="O349" s="46"/>
      <c r="P349" s="46"/>
      <c r="Q349" s="46" t="str">
        <f>IFERROR(__xludf.DUMMYFUNCTION("""COMPUTED_VALUE"""),"Hoàn thành")</f>
        <v>Hoàn thành</v>
      </c>
      <c r="R349" s="46"/>
      <c r="S349" s="46"/>
      <c r="T349" s="46"/>
      <c r="U349" s="46"/>
      <c r="V349" s="46"/>
      <c r="W349" s="46"/>
      <c r="X349" s="46"/>
      <c r="Y349" s="46"/>
      <c r="Z349" s="46"/>
      <c r="AA349" s="46"/>
    </row>
    <row r="350">
      <c r="A350" s="55">
        <f>IFERROR(__xludf.DUMMYFUNCTION("""COMPUTED_VALUE"""),44313.28979097222)</f>
        <v>44313.28979</v>
      </c>
      <c r="B350" s="56">
        <f>IFERROR(__xludf.DUMMYFUNCTION("""COMPUTED_VALUE"""),44312.0)</f>
        <v>44312</v>
      </c>
      <c r="C350" s="59" t="str">
        <f t="shared" si="3"/>
        <v/>
      </c>
      <c r="D350" s="46" t="str">
        <f>IFERROR(__xludf.DUMMYFUNCTION("""COMPUTED_VALUE"""),"Tunt")</f>
        <v>Tunt</v>
      </c>
      <c r="E350" s="57" t="str">
        <f>IFERROR(__xludf.DUMMYFUNCTION("""COMPUTED_VALUE"""),"J821002771")</f>
        <v>J821002771</v>
      </c>
      <c r="F350" s="46" t="str">
        <f>IFERROR(__xludf.DUMMYFUNCTION("""COMPUTED_VALUE"""),"Trường Sỹ Quan Lục Quân (1), Sơn Tây, Hà Nội")</f>
        <v>Trường Sỹ Quan Lục Quân (1), Sơn Tây, Hà Nội</v>
      </c>
      <c r="G350" s="46" t="str">
        <f>IFERROR(__xludf.DUMMYFUNCTION("""COMPUTED_VALUE"""),"Lỗi đầu đọc thẻ")</f>
        <v>Lỗi đầu đọc thẻ</v>
      </c>
      <c r="H350" s="46"/>
      <c r="I350" s="46"/>
      <c r="J350" s="46" t="str">
        <f>IFERROR(__xludf.DUMMYFUNCTION("""COMPUTED_VALUE"""),"Gỡ dị vật")</f>
        <v>Gỡ dị vật</v>
      </c>
      <c r="K350" s="46"/>
      <c r="L350" s="46"/>
      <c r="M350" s="46"/>
      <c r="N350" s="46"/>
      <c r="O350" s="46"/>
      <c r="P350" s="46"/>
      <c r="Q350" s="46" t="str">
        <f>IFERROR(__xludf.DUMMYFUNCTION("""COMPUTED_VALUE"""),"Hoàn thành")</f>
        <v>Hoàn thành</v>
      </c>
      <c r="R350" s="46"/>
      <c r="S350" s="46"/>
      <c r="T350" s="46"/>
      <c r="U350" s="46"/>
      <c r="V350" s="46"/>
      <c r="W350" s="46"/>
      <c r="X350" s="46"/>
      <c r="Y350" s="46"/>
      <c r="Z350" s="46"/>
      <c r="AA350" s="46"/>
    </row>
    <row r="351">
      <c r="A351" s="55">
        <f>IFERROR(__xludf.DUMMYFUNCTION("""COMPUTED_VALUE"""),44313.45588716435)</f>
        <v>44313.45589</v>
      </c>
      <c r="B351" s="56">
        <f>IFERROR(__xludf.DUMMYFUNCTION("""COMPUTED_VALUE"""),44312.0)</f>
        <v>44312</v>
      </c>
      <c r="C351" s="59" t="str">
        <f t="shared" si="3"/>
        <v/>
      </c>
      <c r="D351" s="46" t="str">
        <f>IFERROR(__xludf.DUMMYFUNCTION("""COMPUTED_VALUE"""),"Bannt")</f>
        <v>Bannt</v>
      </c>
      <c r="E351" s="57" t="str">
        <f>IFERROR(__xludf.DUMMYFUNCTION("""COMPUTED_VALUE"""),"5310180603")</f>
        <v>5310180603</v>
      </c>
      <c r="F351" s="46" t="str">
        <f>IFERROR(__xludf.DUMMYFUNCTION("""COMPUTED_VALUE"""),"Khu 2, TT Lam Sơn, H Thọ Xuân, tỉnh Thanh Hóa")</f>
        <v>Khu 2, TT Lam Sơn, H Thọ Xuân, tỉnh Thanh Hóa</v>
      </c>
      <c r="G351" s="46" t="str">
        <f>IFERROR(__xludf.DUMMYFUNCTION("""COMPUTED_VALUE"""),"Lỗi cửa Custom Panel")</f>
        <v>Lỗi cửa Custom Panel</v>
      </c>
      <c r="H351" s="46"/>
      <c r="I351" s="46"/>
      <c r="J351" s="46" t="str">
        <f>IFERROR(__xludf.DUMMYFUNCTION("""COMPUTED_VALUE"""),"Đấu lại dây điện cửa Custom panel")</f>
        <v>Đấu lại dây điện cửa Custom panel</v>
      </c>
      <c r="K351" s="46"/>
      <c r="L351" s="46"/>
      <c r="M351" s="46"/>
      <c r="N351" s="46"/>
      <c r="O351" s="46"/>
      <c r="P351" s="46"/>
      <c r="Q351" s="46" t="str">
        <f>IFERROR(__xludf.DUMMYFUNCTION("""COMPUTED_VALUE"""),"Hoàn thành")</f>
        <v>Hoàn thành</v>
      </c>
      <c r="R351" s="46"/>
      <c r="S351" s="46"/>
      <c r="T351" s="46"/>
      <c r="U351" s="46"/>
      <c r="V351" s="46"/>
      <c r="W351" s="46"/>
      <c r="X351" s="46"/>
      <c r="Y351" s="46"/>
      <c r="Z351" s="46"/>
      <c r="AA351" s="46"/>
    </row>
    <row r="352">
      <c r="A352" s="55">
        <f>IFERROR(__xludf.DUMMYFUNCTION("""COMPUTED_VALUE"""),44313.709305358796)</f>
        <v>44313.70931</v>
      </c>
      <c r="B352" s="56">
        <f>IFERROR(__xludf.DUMMYFUNCTION("""COMPUTED_VALUE"""),44313.0)</f>
        <v>44313</v>
      </c>
      <c r="C352" s="59" t="str">
        <f t="shared" si="3"/>
        <v/>
      </c>
      <c r="D352" s="46" t="str">
        <f>IFERROR(__xludf.DUMMYFUNCTION("""COMPUTED_VALUE"""),"Tunt")</f>
        <v>Tunt</v>
      </c>
      <c r="E352" s="57" t="str">
        <f>IFERROR(__xludf.DUMMYFUNCTION("""COMPUTED_VALUE"""),"56HGL03539")</f>
        <v>56HGL03539</v>
      </c>
      <c r="F352" s="46" t="str">
        <f>IFERROR(__xludf.DUMMYFUNCTION("""COMPUTED_VALUE"""),"PGD Trúc Bạch,20 Nguyễn Trường Tộ, Ba Đình, Hà Nội")</f>
        <v>PGD Trúc Bạch,20 Nguyễn Trường Tộ, Ba Đình, Hà Nội</v>
      </c>
      <c r="G352" s="46" t="str">
        <f>IFERROR(__xludf.DUMMYFUNCTION("""COMPUTED_VALUE"""),"Tiền loại nhiều")</f>
        <v>Tiền loại nhiều</v>
      </c>
      <c r="H352" s="46"/>
      <c r="I352" s="46" t="str">
        <f>IFERROR(__xludf.DUMMYFUNCTION("""COMPUTED_VALUE"""),"Bảo trì")</f>
        <v>Bảo trì</v>
      </c>
      <c r="J352" s="46" t="str">
        <f>IFERROR(__xludf.DUMMYFUNCTION("""COMPUTED_VALUE"""),"Căn chỉnh gap")</f>
        <v>Căn chỉnh gap</v>
      </c>
      <c r="K352" s="46"/>
      <c r="L352" s="46"/>
      <c r="M352" s="46"/>
      <c r="N352" s="46"/>
      <c r="O352" s="46"/>
      <c r="P352" s="46"/>
      <c r="Q352" s="46" t="str">
        <f>IFERROR(__xludf.DUMMYFUNCTION("""COMPUTED_VALUE"""),"Hoàn thành")</f>
        <v>Hoàn thành</v>
      </c>
      <c r="R352" s="46"/>
      <c r="S352" s="46"/>
      <c r="T352" s="46"/>
      <c r="U352" s="46"/>
      <c r="V352" s="46"/>
      <c r="W352" s="46"/>
      <c r="X352" s="46"/>
      <c r="Y352" s="46"/>
      <c r="Z352" s="46"/>
      <c r="AA352" s="46"/>
    </row>
    <row r="353">
      <c r="A353" s="55">
        <f>IFERROR(__xludf.DUMMYFUNCTION("""COMPUTED_VALUE"""),44313.84614646991)</f>
        <v>44313.84615</v>
      </c>
      <c r="B353" s="56">
        <f>IFERROR(__xludf.DUMMYFUNCTION("""COMPUTED_VALUE"""),44313.0)</f>
        <v>44313</v>
      </c>
      <c r="C353" s="59" t="str">
        <f t="shared" si="3"/>
        <v/>
      </c>
      <c r="D353" s="46" t="str">
        <f>IFERROR(__xludf.DUMMYFUNCTION("""COMPUTED_VALUE"""),"Thuongd")</f>
        <v>Thuongd</v>
      </c>
      <c r="E353" s="57" t="str">
        <f>IFERROR(__xludf.DUMMYFUNCTION("""COMPUTED_VALUE"""),"56HG805388")</f>
        <v>56HG805388</v>
      </c>
      <c r="F353" s="46" t="str">
        <f>IFERROR(__xludf.DUMMYFUNCTION("""COMPUTED_VALUE"""),"Kho 866, xóm 20, xã Nghĩa Thuận, Thị xã Thái Hòa, tỉnh Nghệ An")</f>
        <v>Kho 866, xóm 20, xã Nghĩa Thuận, Thị xã Thái Hòa, tỉnh Nghệ An</v>
      </c>
      <c r="G353" s="46" t="str">
        <f>IFERROR(__xludf.DUMMYFUNCTION("""COMPUTED_VALUE"""),"Lỗi 200k ko rút dc")</f>
        <v>Lỗi 200k ko rút dc</v>
      </c>
      <c r="H353" s="46"/>
      <c r="I353" s="46"/>
      <c r="J353" s="46"/>
      <c r="K353" s="46"/>
      <c r="L353" s="46"/>
      <c r="M353" s="46"/>
      <c r="N353" s="46"/>
      <c r="O353" s="46"/>
      <c r="P353" s="46"/>
      <c r="Q353" s="46" t="str">
        <f>IFERROR(__xludf.DUMMYFUNCTION("""COMPUTED_VALUE"""),"Hoàn thành")</f>
        <v>Hoàn thành</v>
      </c>
      <c r="R353" s="46"/>
      <c r="S353" s="46"/>
      <c r="T353" s="46"/>
      <c r="U353" s="46"/>
      <c r="V353" s="46"/>
      <c r="W353" s="46"/>
      <c r="X353" s="46"/>
      <c r="Y353" s="46"/>
      <c r="Z353" s="46"/>
      <c r="AA353" s="46"/>
    </row>
    <row r="354">
      <c r="A354" s="55">
        <f>IFERROR(__xludf.DUMMYFUNCTION("""COMPUTED_VALUE"""),44314.37507019676)</f>
        <v>44314.37507</v>
      </c>
      <c r="B354" s="56">
        <f>IFERROR(__xludf.DUMMYFUNCTION("""COMPUTED_VALUE"""),44312.0)</f>
        <v>44312</v>
      </c>
      <c r="C354" s="59" t="str">
        <f t="shared" si="3"/>
        <v>Báo cáo muộn</v>
      </c>
      <c r="D354" s="46" t="str">
        <f>IFERROR(__xludf.DUMMYFUNCTION("""COMPUTED_VALUE"""),"Hieppn")</f>
        <v>Hieppn</v>
      </c>
      <c r="E354" s="57" t="str">
        <f>IFERROR(__xludf.DUMMYFUNCTION("""COMPUTED_VALUE"""),"5300378405")</f>
        <v>5300378405</v>
      </c>
      <c r="F354" s="46" t="str">
        <f>IFERROR(__xludf.DUMMYFUNCTION("""COMPUTED_VALUE"""),"Kim Xuyên, Hồng Lạc, Sơn Dương")</f>
        <v>Kim Xuyên, Hồng Lạc, Sơn Dương</v>
      </c>
      <c r="G354" s="46" t="str">
        <f>IFERROR(__xludf.DUMMYFUNCTION("""COMPUTED_VALUE"""),"Lỗi bộ trả tiền")</f>
        <v>Lỗi bộ trả tiền</v>
      </c>
      <c r="H354" s="46"/>
      <c r="I354" s="46"/>
      <c r="J354" s="46" t="str">
        <f>IFERROR(__xludf.DUMMYFUNCTION("""COMPUTED_VALUE"""),"Vệ sinh và thay thế")</f>
        <v>Vệ sinh và thay thế</v>
      </c>
      <c r="K354" s="46" t="str">
        <f>IFERROR(__xludf.DUMMYFUNCTION("""COMPUTED_VALUE"""),"01presentor")</f>
        <v>01presentor</v>
      </c>
      <c r="L354" s="46" t="str">
        <f>IFERROR(__xludf.DUMMYFUNCTION("""COMPUTED_VALUE"""),"01Clamp")</f>
        <v>01Clamp</v>
      </c>
      <c r="M354" s="46"/>
      <c r="N354" s="46"/>
      <c r="O354" s="46"/>
      <c r="P354" s="46"/>
      <c r="Q354" s="46" t="str">
        <f>IFERROR(__xludf.DUMMYFUNCTION("""COMPUTED_VALUE"""),"Hoàn thành")</f>
        <v>Hoàn thành</v>
      </c>
      <c r="R354" s="46"/>
      <c r="S354" s="46"/>
      <c r="T354" s="46"/>
      <c r="U354" s="46"/>
      <c r="V354" s="46"/>
      <c r="W354" s="46"/>
      <c r="X354" s="46"/>
      <c r="Y354" s="46"/>
      <c r="Z354" s="46"/>
      <c r="AA354" s="46"/>
    </row>
    <row r="355">
      <c r="A355" s="55">
        <f>IFERROR(__xludf.DUMMYFUNCTION("""COMPUTED_VALUE"""),44314.37597940972)</f>
        <v>44314.37598</v>
      </c>
      <c r="B355" s="56">
        <f>IFERROR(__xludf.DUMMYFUNCTION("""COMPUTED_VALUE"""),44313.0)</f>
        <v>44313</v>
      </c>
      <c r="C355" s="59" t="str">
        <f t="shared" si="3"/>
        <v/>
      </c>
      <c r="D355" s="46" t="str">
        <f>IFERROR(__xludf.DUMMYFUNCTION("""COMPUTED_VALUE"""),"hieppn")</f>
        <v>hieppn</v>
      </c>
      <c r="E355" s="57" t="str">
        <f>IFERROR(__xludf.DUMMYFUNCTION("""COMPUTED_VALUE"""),"5300380476")</f>
        <v>5300380476</v>
      </c>
      <c r="F355" s="46" t="str">
        <f>IFERROR(__xludf.DUMMYFUNCTION("""COMPUTED_VALUE"""),"P 107, CC2 Bắc Linh Đàm - Hà Nội")</f>
        <v>P 107, CC2 Bắc Linh Đàm - Hà Nội</v>
      </c>
      <c r="G355" s="46" t="str">
        <f>IFERROR(__xludf.DUMMYFUNCTION("""COMPUTED_VALUE""")," Khắc phục sự cố kết hợp bảo trì")</f>
        <v> Khắc phục sự cố kết hợp bảo trì</v>
      </c>
      <c r="H355" s="46"/>
      <c r="I355" s="46" t="str">
        <f>IFERROR(__xludf.DUMMYFUNCTION("""COMPUTED_VALUE"""),"Bảo trì")</f>
        <v>Bảo trì</v>
      </c>
      <c r="J355" s="46" t="str">
        <f>IFERROR(__xludf.DUMMYFUNCTION("""COMPUTED_VALUE"""),"Khắc phục sự cố kết hợp bảo trì")</f>
        <v>Khắc phục sự cố kết hợp bảo trì</v>
      </c>
      <c r="K355" s="46"/>
      <c r="L355" s="46"/>
      <c r="M355" s="46"/>
      <c r="N355" s="46"/>
      <c r="O355" s="46"/>
      <c r="P355" s="46"/>
      <c r="Q355" s="46" t="str">
        <f>IFERROR(__xludf.DUMMYFUNCTION("""COMPUTED_VALUE"""),"Hoàn thành")</f>
        <v>Hoàn thành</v>
      </c>
      <c r="R355" s="46"/>
      <c r="S355" s="46"/>
      <c r="T355" s="46"/>
      <c r="U355" s="46"/>
      <c r="V355" s="46"/>
      <c r="W355" s="46"/>
      <c r="X355" s="46"/>
      <c r="Y355" s="46"/>
      <c r="Z355" s="46"/>
      <c r="AA355" s="46"/>
    </row>
    <row r="356">
      <c r="A356" s="55">
        <f>IFERROR(__xludf.DUMMYFUNCTION("""COMPUTED_VALUE"""),44314.382755231476)</f>
        <v>44314.38276</v>
      </c>
      <c r="B356" s="56">
        <f>IFERROR(__xludf.DUMMYFUNCTION("""COMPUTED_VALUE"""),44313.0)</f>
        <v>44313</v>
      </c>
      <c r="C356" s="59" t="str">
        <f t="shared" si="3"/>
        <v/>
      </c>
      <c r="D356" s="46" t="str">
        <f>IFERROR(__xludf.DUMMYFUNCTION("""COMPUTED_VALUE"""),"hieppn")</f>
        <v>hieppn</v>
      </c>
      <c r="E356" s="57" t="str">
        <f>IFERROR(__xludf.DUMMYFUNCTION("""COMPUTED_VALUE"""),"56HG806307")</f>
        <v>56HG806307</v>
      </c>
      <c r="F356" s="46" t="str">
        <f>IFERROR(__xludf.DUMMYFUNCTION("""COMPUTED_VALUE"""),"Số 8-Tổ 7, Tân Bình, Xuân Mai, Chương Mỹ, TP. Hà Nội")</f>
        <v>Số 8-Tổ 7, Tân Bình, Xuân Mai, Chương Mỹ, TP. Hà Nội</v>
      </c>
      <c r="G356" s="46" t="str">
        <f>IFERROR(__xludf.DUMMYFUNCTION("""COMPUTED_VALUE"""),"Lỗi board ngang CMD")</f>
        <v>Lỗi board ngang CMD</v>
      </c>
      <c r="H356" s="46"/>
      <c r="I356" s="46"/>
      <c r="J356" s="46" t="str">
        <f>IFERROR(__xludf.DUMMYFUNCTION("""COMPUTED_VALUE"""),"Load lại firmware")</f>
        <v>Load lại firmware</v>
      </c>
      <c r="K356" s="46"/>
      <c r="L356" s="46"/>
      <c r="M356" s="46"/>
      <c r="N356" s="46"/>
      <c r="O356" s="46"/>
      <c r="P356" s="46"/>
      <c r="Q356" s="46" t="str">
        <f>IFERROR(__xludf.DUMMYFUNCTION("""COMPUTED_VALUE"""),"Hoàn thành")</f>
        <v>Hoàn thành</v>
      </c>
      <c r="R356" s="46"/>
      <c r="S356" s="46"/>
      <c r="T356" s="46"/>
      <c r="U356" s="46"/>
      <c r="V356" s="46"/>
      <c r="W356" s="46"/>
      <c r="X356" s="46"/>
      <c r="Y356" s="46"/>
      <c r="Z356" s="46"/>
      <c r="AA356" s="46"/>
    </row>
    <row r="357">
      <c r="A357" s="55">
        <f>IFERROR(__xludf.DUMMYFUNCTION("""COMPUTED_VALUE"""),44314.43826768518)</f>
        <v>44314.43827</v>
      </c>
      <c r="B357" s="56">
        <f>IFERROR(__xludf.DUMMYFUNCTION("""COMPUTED_VALUE"""),44313.0)</f>
        <v>44313</v>
      </c>
      <c r="C357" s="59" t="str">
        <f t="shared" si="3"/>
        <v/>
      </c>
      <c r="D357" s="46" t="str">
        <f>IFERROR(__xludf.DUMMYFUNCTION("""COMPUTED_VALUE"""),"thangnx")</f>
        <v>thangnx</v>
      </c>
      <c r="E357" s="57" t="str">
        <f>IFERROR(__xludf.DUMMYFUNCTION("""COMPUTED_VALUE"""),"5310105466")</f>
        <v>5310105466</v>
      </c>
      <c r="F357" s="46" t="str">
        <f>IFERROR(__xludf.DUMMYFUNCTION("""COMPUTED_VALUE"""),"Khu Quang Trung, thị trấn Thanh Nê, huyện Kiến Xương, Thái Bình")</f>
        <v>Khu Quang Trung, thị trấn Thanh Nê, huyện Kiến Xương, Thái Bình</v>
      </c>
      <c r="G357" s="46" t="str">
        <f>IFERROR(__xludf.DUMMYFUNCTION("""COMPUTED_VALUE"""),"Lỗi Card Reader")</f>
        <v>Lỗi Card Reader</v>
      </c>
      <c r="H357" s="46"/>
      <c r="I357" s="46"/>
      <c r="J357" s="46"/>
      <c r="K357" s="46" t="str">
        <f>IFERROR(__xludf.DUMMYFUNCTION("""COMPUTED_VALUE"""),"01 đầu từ")</f>
        <v>01 đầu từ</v>
      </c>
      <c r="L357" s="46"/>
      <c r="M357" s="46"/>
      <c r="N357" s="46"/>
      <c r="O357" s="46"/>
      <c r="P357" s="46"/>
      <c r="Q357" s="46" t="str">
        <f>IFERROR(__xludf.DUMMYFUNCTION("""COMPUTED_VALUE"""),"Hoàn thành")</f>
        <v>Hoàn thành</v>
      </c>
      <c r="R357" s="46"/>
      <c r="S357" s="46"/>
      <c r="T357" s="46"/>
      <c r="U357" s="46"/>
      <c r="V357" s="46"/>
      <c r="W357" s="46"/>
      <c r="X357" s="46"/>
      <c r="Y357" s="46"/>
      <c r="Z357" s="46"/>
      <c r="AA357" s="46"/>
    </row>
    <row r="358">
      <c r="A358" s="55">
        <f>IFERROR(__xludf.DUMMYFUNCTION("""COMPUTED_VALUE"""),44314.43935810185)</f>
        <v>44314.43936</v>
      </c>
      <c r="B358" s="56">
        <f>IFERROR(__xludf.DUMMYFUNCTION("""COMPUTED_VALUE"""),44313.0)</f>
        <v>44313</v>
      </c>
      <c r="C358" s="59" t="str">
        <f t="shared" si="3"/>
        <v/>
      </c>
      <c r="D358" s="46" t="str">
        <f>IFERROR(__xludf.DUMMYFUNCTION("""COMPUTED_VALUE"""),"thangnx")</f>
        <v>thangnx</v>
      </c>
      <c r="E358" s="57" t="str">
        <f>IFERROR(__xludf.DUMMYFUNCTION("""COMPUTED_VALUE"""),"5300380536")</f>
        <v>5300380536</v>
      </c>
      <c r="F358" s="46" t="str">
        <f>IFERROR(__xludf.DUMMYFUNCTION("""COMPUTED_VALUE"""),"PGD Khu Đông, xã Hùng Dũng, Hưng Hà, Thái Bình")</f>
        <v>PGD Khu Đông, xã Hùng Dũng, Hưng Hà, Thái Bình</v>
      </c>
      <c r="G358" s="46" t="str">
        <f>IFERROR(__xludf.DUMMYFUNCTION("""COMPUTED_VALUE"""),"Lỗi BPTT")</f>
        <v>Lỗi BPTT</v>
      </c>
      <c r="H358" s="46"/>
      <c r="I358" s="46"/>
      <c r="J358" s="46" t="str">
        <f>IFERROR(__xludf.DUMMYFUNCTION("""COMPUTED_VALUE"""),"load firmware mới")</f>
        <v>load firmware mới</v>
      </c>
      <c r="K358" s="46" t="str">
        <f>IFERROR(__xludf.DUMMYFUNCTION("""COMPUTED_VALUE"""),"01 extractor")</f>
        <v>01 extractor</v>
      </c>
      <c r="L358" s="46" t="str">
        <f>IFERROR(__xludf.DUMMYFUNCTION("""COMPUTED_VALUE"""),"01 bo ngang")</f>
        <v>01 bo ngang</v>
      </c>
      <c r="M358" s="46"/>
      <c r="N358" s="46"/>
      <c r="O358" s="46"/>
      <c r="P358" s="46" t="str">
        <f>IFERROR(__xludf.DUMMYFUNCTION("""COMPUTED_VALUE"""),"Máy này lỗi lặp lại nhiều lần, cần theo dõi triệt để")</f>
        <v>Máy này lỗi lặp lại nhiều lần, cần theo dõi triệt để</v>
      </c>
      <c r="Q358" s="46" t="str">
        <f>IFERROR(__xludf.DUMMYFUNCTION("""COMPUTED_VALUE"""),"Hoàn thành")</f>
        <v>Hoàn thành</v>
      </c>
      <c r="R358" s="46"/>
      <c r="S358" s="46"/>
      <c r="T358" s="46"/>
      <c r="U358" s="46"/>
      <c r="V358" s="46"/>
      <c r="W358" s="46"/>
      <c r="X358" s="46"/>
      <c r="Y358" s="46"/>
      <c r="Z358" s="46"/>
      <c r="AA358" s="46"/>
    </row>
    <row r="359">
      <c r="A359" s="55">
        <f>IFERROR(__xludf.DUMMYFUNCTION("""COMPUTED_VALUE"""),44314.61522309028)</f>
        <v>44314.61522</v>
      </c>
      <c r="B359" s="56">
        <f>IFERROR(__xludf.DUMMYFUNCTION("""COMPUTED_VALUE"""),44314.0)</f>
        <v>44314</v>
      </c>
      <c r="C359" s="59" t="str">
        <f t="shared" si="3"/>
        <v/>
      </c>
      <c r="D359" s="46" t="str">
        <f>IFERROR(__xludf.DUMMYFUNCTION("""COMPUTED_VALUE"""),"Thuongd")</f>
        <v>Thuongd</v>
      </c>
      <c r="E359" s="57" t="str">
        <f>IFERROR(__xludf.DUMMYFUNCTION("""COMPUTED_VALUE"""),"5300380596")</f>
        <v>5300380596</v>
      </c>
      <c r="F359" s="46" t="str">
        <f>IFERROR(__xludf.DUMMYFUNCTION("""COMPUTED_VALUE"""),"Đường 1 A Cẩm Xuyên - Hà Tĩnh")</f>
        <v>Đường 1 A Cẩm Xuyên - Hà Tĩnh</v>
      </c>
      <c r="G359" s="46" t="str">
        <f>IFERROR(__xludf.DUMMYFUNCTION("""COMPUTED_VALUE"""),"Hay kẹt tiền tầng 200k")</f>
        <v>Hay kẹt tiền tầng 200k</v>
      </c>
      <c r="H359" s="46"/>
      <c r="I359" s="46"/>
      <c r="J359" s="46" t="str">
        <f>IFERROR(__xludf.DUMMYFUNCTION("""COMPUTED_VALUE"""),"Căn chỉnh GAP")</f>
        <v>Căn chỉnh GAP</v>
      </c>
      <c r="K359" s="46"/>
      <c r="L359" s="46"/>
      <c r="M359" s="46"/>
      <c r="N359" s="46"/>
      <c r="O359" s="46"/>
      <c r="P359" s="46"/>
      <c r="Q359" s="46" t="str">
        <f>IFERROR(__xludf.DUMMYFUNCTION("""COMPUTED_VALUE"""),"Hoàn thành")</f>
        <v>Hoàn thành</v>
      </c>
      <c r="R359" s="46"/>
      <c r="S359" s="46"/>
      <c r="T359" s="46"/>
      <c r="U359" s="46"/>
      <c r="V359" s="46"/>
      <c r="W359" s="46"/>
      <c r="X359" s="46"/>
      <c r="Y359" s="46"/>
      <c r="Z359" s="46"/>
      <c r="AA359" s="46"/>
    </row>
    <row r="360">
      <c r="A360" s="55">
        <f>IFERROR(__xludf.DUMMYFUNCTION("""COMPUTED_VALUE"""),44314.652147141205)</f>
        <v>44314.65215</v>
      </c>
      <c r="B360" s="56">
        <f>IFERROR(__xludf.DUMMYFUNCTION("""COMPUTED_VALUE"""),44314.0)</f>
        <v>44314</v>
      </c>
      <c r="C360" s="59" t="str">
        <f t="shared" si="3"/>
        <v/>
      </c>
      <c r="D360" s="46" t="str">
        <f>IFERROR(__xludf.DUMMYFUNCTION("""COMPUTED_VALUE"""),"Tuanva")</f>
        <v>Tuanva</v>
      </c>
      <c r="E360" s="57" t="str">
        <f>IFERROR(__xludf.DUMMYFUNCTION("""COMPUTED_VALUE"""),"5310182442")</f>
        <v>5310182442</v>
      </c>
      <c r="F360" s="46" t="str">
        <f>IFERROR(__xludf.DUMMYFUNCTION("""COMPUTED_VALUE"""),"Trụ sở Agribank Ba Bể, TT Chợ Rã huyện Ba Bể, tỉnh bắc Kạn")</f>
        <v>Trụ sở Agribank Ba Bể, TT Chợ Rã huyện Ba Bể, tỉnh bắc Kạn</v>
      </c>
      <c r="G360" s="46" t="str">
        <f>IFERROR(__xludf.DUMMYFUNCTION("""COMPUTED_VALUE"""),"Không rút được khay 200k,máy rút được 1/2 hộp 200k thì không rút được nữa")</f>
        <v>Không rút được khay 200k,máy rút được 1/2 hộp 200k thì không rút được nữa</v>
      </c>
      <c r="H360" s="46"/>
      <c r="I360" s="46" t="str">
        <f>IFERROR(__xludf.DUMMYFUNCTION("""COMPUTED_VALUE"""),"Bảo trì")</f>
        <v>Bảo trì</v>
      </c>
      <c r="J360" s="46" t="str">
        <f>IFERROR(__xludf.DUMMYFUNCTION("""COMPUTED_VALUE"""),"Đổi trục pick từ tầng 50k xuống tầng 200k")</f>
        <v>Đổi trục pick từ tầng 50k xuống tầng 200k</v>
      </c>
      <c r="K360" s="46"/>
      <c r="L360" s="46"/>
      <c r="M360" s="46"/>
      <c r="N360" s="46"/>
      <c r="O360" s="46"/>
      <c r="P360" s="46"/>
      <c r="Q360" s="46" t="str">
        <f>IFERROR(__xludf.DUMMYFUNCTION("""COMPUTED_VALUE"""),"Hoàn thành")</f>
        <v>Hoàn thành</v>
      </c>
      <c r="R360" s="46"/>
      <c r="S360" s="46"/>
      <c r="T360" s="46"/>
      <c r="U360" s="46"/>
      <c r="V360" s="46"/>
      <c r="W360" s="46"/>
      <c r="X360" s="46"/>
      <c r="Y360" s="46"/>
      <c r="Z360" s="46"/>
      <c r="AA360" s="46"/>
    </row>
    <row r="361">
      <c r="A361" s="55">
        <f>IFERROR(__xludf.DUMMYFUNCTION("""COMPUTED_VALUE"""),44314.65668128472)</f>
        <v>44314.65668</v>
      </c>
      <c r="B361" s="56">
        <f>IFERROR(__xludf.DUMMYFUNCTION("""COMPUTED_VALUE"""),44314.0)</f>
        <v>44314</v>
      </c>
      <c r="C361" s="59" t="str">
        <f t="shared" si="3"/>
        <v/>
      </c>
      <c r="D361" s="46" t="str">
        <f>IFERROR(__xludf.DUMMYFUNCTION("""COMPUTED_VALUE"""),"Duclb")</f>
        <v>Duclb</v>
      </c>
      <c r="E361" s="57" t="str">
        <f>IFERROR(__xludf.DUMMYFUNCTION("""COMPUTED_VALUE"""),"56HG707951")</f>
        <v>56HG707951</v>
      </c>
      <c r="F361" s="46" t="str">
        <f>IFERROR(__xludf.DUMMYFUNCTION("""COMPUTED_VALUE"""),"Lô 1, Khu CN Hòa Xá, TP Nam Định, Tỉnh Nam Định")</f>
        <v>Lô 1, Khu CN Hòa Xá, TP Nam Định, Tỉnh Nam Định</v>
      </c>
      <c r="G361" s="46" t="str">
        <f>IFERROR(__xludf.DUMMYFUNCTION("""COMPUTED_VALUE"""),"Lỗi 11, máy in hay kẹt giấy, pc tự khởi động lại ")</f>
        <v>Lỗi 11, máy in hay kẹt giấy, pc tự khởi động lại </v>
      </c>
      <c r="H361" s="46"/>
      <c r="I361" s="46"/>
      <c r="J361" s="46" t="str">
        <f>IFERROR(__xludf.DUMMYFUNCTION("""COMPUTED_VALUE"""),"Cài đặt lại hệ điều hành")</f>
        <v>Cài đặt lại hệ điều hành</v>
      </c>
      <c r="K361" s="46" t="str">
        <f>IFERROR(__xludf.DUMMYFUNCTION("""COMPUTED_VALUE"""),"04 vòng quấn giấy máy in")</f>
        <v>04 vòng quấn giấy máy in</v>
      </c>
      <c r="L361" s="46" t="str">
        <f>IFERROR(__xludf.DUMMYFUNCTION("""COMPUTED_VALUE"""),"01 pin bo ngang")</f>
        <v>01 pin bo ngang</v>
      </c>
      <c r="M361" s="46"/>
      <c r="N361" s="46"/>
      <c r="O361" s="46"/>
      <c r="P361" s="46"/>
      <c r="Q361" s="46" t="str">
        <f>IFERROR(__xludf.DUMMYFUNCTION("""COMPUTED_VALUE"""),"Hoàn thành")</f>
        <v>Hoàn thành</v>
      </c>
      <c r="R361" s="46"/>
      <c r="S361" s="46"/>
      <c r="T361" s="46"/>
      <c r="U361" s="46"/>
      <c r="V361" s="46"/>
      <c r="W361" s="46"/>
      <c r="X361" s="46"/>
      <c r="Y361" s="46"/>
      <c r="Z361" s="46"/>
      <c r="AA361" s="46"/>
    </row>
    <row r="362">
      <c r="A362" s="55">
        <f>IFERROR(__xludf.DUMMYFUNCTION("""COMPUTED_VALUE"""),44314.79397114583)</f>
        <v>44314.79397</v>
      </c>
      <c r="B362" s="56">
        <f>IFERROR(__xludf.DUMMYFUNCTION("""COMPUTED_VALUE"""),44314.0)</f>
        <v>44314</v>
      </c>
      <c r="C362" s="59" t="str">
        <f t="shared" si="3"/>
        <v/>
      </c>
      <c r="D362" s="46" t="str">
        <f>IFERROR(__xludf.DUMMYFUNCTION("""COMPUTED_VALUE"""),"Bannt")</f>
        <v>Bannt</v>
      </c>
      <c r="E362" s="57" t="str">
        <f>IFERROR(__xludf.DUMMYFUNCTION("""COMPUTED_VALUE"""),"5300381717")</f>
        <v>5300381717</v>
      </c>
      <c r="F362" s="46" t="str">
        <f>IFERROR(__xludf.DUMMYFUNCTION("""COMPUTED_VALUE"""),"Thị trấn Ngọc Lặc, Ngọc Lặc, Thanh Hóa")</f>
        <v>Thị trấn Ngọc Lặc, Ngọc Lặc, Thanh Hóa</v>
      </c>
      <c r="G362" s="46" t="str">
        <f>IFERROR(__xludf.DUMMYFUNCTION("""COMPUTED_VALUE"""),"Tuột dây curoa tại ex, rác nhiều, tiền 100 hay bị không lên tiền")</f>
        <v>Tuột dây curoa tại ex, rác nhiều, tiền 100 hay bị không lên tiền</v>
      </c>
      <c r="H362" s="46"/>
      <c r="I362" s="46" t="str">
        <f>IFERROR(__xludf.DUMMYFUNCTION("""COMPUTED_VALUE"""),"Bảo trì")</f>
        <v>Bảo trì</v>
      </c>
      <c r="J362" s="46" t="str">
        <f>IFERROR(__xludf.DUMMYFUNCTION("""COMPUTED_VALUE"""),"Gia cố bánh răng trắng tại bptt, thay thế dây curroa, bảo trì casset, học lại tiền")</f>
        <v>Gia cố bánh răng trắng tại bptt, thay thế dây curroa, bảo trì casset, học lại tiền</v>
      </c>
      <c r="K362" s="46" t="str">
        <f>IFERROR(__xludf.DUMMYFUNCTION("""COMPUTED_VALUE"""),"02 dây curoa")</f>
        <v>02 dây curoa</v>
      </c>
      <c r="L362" s="46"/>
      <c r="M362" s="46"/>
      <c r="N362" s="46"/>
      <c r="O362" s="46"/>
      <c r="P362" s="46"/>
      <c r="Q362" s="46" t="str">
        <f>IFERROR(__xludf.DUMMYFUNCTION("""COMPUTED_VALUE"""),"Hoàn thành")</f>
        <v>Hoàn thành</v>
      </c>
      <c r="R362" s="46"/>
      <c r="S362" s="46"/>
      <c r="T362" s="46"/>
      <c r="U362" s="46"/>
      <c r="V362" s="46"/>
      <c r="W362" s="46"/>
      <c r="X362" s="46"/>
      <c r="Y362" s="46"/>
      <c r="Z362" s="46"/>
      <c r="AA362" s="46"/>
    </row>
    <row r="363">
      <c r="A363" s="55">
        <f>IFERROR(__xludf.DUMMYFUNCTION("""COMPUTED_VALUE"""),44315.202165787035)</f>
        <v>44315.20217</v>
      </c>
      <c r="B363" s="56">
        <f>IFERROR(__xludf.DUMMYFUNCTION("""COMPUTED_VALUE"""),44313.0)</f>
        <v>44313</v>
      </c>
      <c r="C363" s="59" t="str">
        <f t="shared" si="3"/>
        <v>Báo cáo muộn</v>
      </c>
      <c r="D363" s="46" t="str">
        <f>IFERROR(__xludf.DUMMYFUNCTION("""COMPUTED_VALUE"""),"Hieppn")</f>
        <v>Hieppn</v>
      </c>
      <c r="E363" s="57" t="str">
        <f>IFERROR(__xludf.DUMMYFUNCTION("""COMPUTED_VALUE"""),"56HG806307")</f>
        <v>56HG806307</v>
      </c>
      <c r="F363" s="46" t="str">
        <f>IFERROR(__xludf.DUMMYFUNCTION("""COMPUTED_VALUE"""),"Số 8-Tổ 7, Tân Bình, Xuân Mai, Chương Mỹ, TP. Hà Nội")</f>
        <v>Số 8-Tổ 7, Tân Bình, Xuân Mai, Chương Mỹ, TP. Hà Nội</v>
      </c>
      <c r="G363" s="46" t="str">
        <f>IFERROR(__xludf.DUMMYFUNCTION("""COMPUTED_VALUE"""),"Lỗi firmwae")</f>
        <v>Lỗi firmwae</v>
      </c>
      <c r="H363" s="46"/>
      <c r="I363" s="46" t="str">
        <f>IFERROR(__xludf.DUMMYFUNCTION("""COMPUTED_VALUE"""),"Bảo trì")</f>
        <v>Bảo trì</v>
      </c>
      <c r="J363" s="46" t="str">
        <f>IFERROR(__xludf.DUMMYFUNCTION("""COMPUTED_VALUE"""),"Load lại firmwae")</f>
        <v>Load lại firmwae</v>
      </c>
      <c r="K363" s="46"/>
      <c r="L363" s="46"/>
      <c r="M363" s="46"/>
      <c r="N363" s="46"/>
      <c r="O363" s="46"/>
      <c r="P363" s="46"/>
      <c r="Q363" s="46" t="str">
        <f>IFERROR(__xludf.DUMMYFUNCTION("""COMPUTED_VALUE"""),"Hoàn thành")</f>
        <v>Hoàn thành</v>
      </c>
      <c r="R363" s="46"/>
      <c r="S363" s="46"/>
      <c r="T363" s="46"/>
      <c r="U363" s="46"/>
      <c r="V363" s="46"/>
      <c r="W363" s="46"/>
      <c r="X363" s="46"/>
      <c r="Y363" s="46"/>
      <c r="Z363" s="46"/>
      <c r="AA363" s="46"/>
    </row>
    <row r="364">
      <c r="A364" s="55">
        <f>IFERROR(__xludf.DUMMYFUNCTION("""COMPUTED_VALUE"""),44315.20306143518)</f>
        <v>44315.20306</v>
      </c>
      <c r="B364" s="56">
        <f>IFERROR(__xludf.DUMMYFUNCTION("""COMPUTED_VALUE"""),44314.0)</f>
        <v>44314</v>
      </c>
      <c r="C364" s="59" t="str">
        <f t="shared" si="3"/>
        <v/>
      </c>
      <c r="D364" s="46" t="str">
        <f>IFERROR(__xludf.DUMMYFUNCTION("""COMPUTED_VALUE"""),"Hieppn")</f>
        <v>Hieppn</v>
      </c>
      <c r="E364" s="57" t="str">
        <f>IFERROR(__xludf.DUMMYFUNCTION("""COMPUTED_VALUE"""),"5310105339")</f>
        <v>5310105339</v>
      </c>
      <c r="F364" s="46" t="str">
        <f>IFERROR(__xludf.DUMMYFUNCTION("""COMPUTED_VALUE"""),"PGD KCN An Dương, Hải Phòng")</f>
        <v>PGD KCN An Dương, Hải Phòng</v>
      </c>
      <c r="G364" s="46" t="str">
        <f>IFERROR(__xludf.DUMMYFUNCTION("""COMPUTED_VALUE"""),"Lỗi bộ trả tiền")</f>
        <v>Lỗi bộ trả tiền</v>
      </c>
      <c r="H364" s="46"/>
      <c r="I364" s="46"/>
      <c r="J364" s="46" t="str">
        <f>IFERROR(__xludf.DUMMYFUNCTION("""COMPUTED_VALUE"""),"Thay thế ")</f>
        <v>Thay thế </v>
      </c>
      <c r="K364" s="46" t="str">
        <f>IFERROR(__xludf.DUMMYFUNCTION("""COMPUTED_VALUE"""),"01presentor")</f>
        <v>01presentor</v>
      </c>
      <c r="L364" s="46"/>
      <c r="M364" s="46"/>
      <c r="N364" s="46"/>
      <c r="O364" s="46"/>
      <c r="P364" s="46"/>
      <c r="Q364" s="46" t="str">
        <f>IFERROR(__xludf.DUMMYFUNCTION("""COMPUTED_VALUE"""),"Hoàn thành")</f>
        <v>Hoàn thành</v>
      </c>
      <c r="R364" s="46"/>
      <c r="S364" s="46"/>
      <c r="T364" s="46"/>
      <c r="U364" s="46"/>
      <c r="V364" s="46"/>
      <c r="W364" s="46"/>
      <c r="X364" s="46"/>
      <c r="Y364" s="46"/>
      <c r="Z364" s="46"/>
      <c r="AA364" s="46"/>
    </row>
    <row r="365">
      <c r="A365" s="55">
        <f>IFERROR(__xludf.DUMMYFUNCTION("""COMPUTED_VALUE"""),44315.66297672453)</f>
        <v>44315.66298</v>
      </c>
      <c r="B365" s="56">
        <f>IFERROR(__xludf.DUMMYFUNCTION("""COMPUTED_VALUE"""),44315.0)</f>
        <v>44315</v>
      </c>
      <c r="C365" s="59" t="str">
        <f t="shared" si="3"/>
        <v/>
      </c>
      <c r="D365" s="46" t="str">
        <f>IFERROR(__xludf.DUMMYFUNCTION("""COMPUTED_VALUE"""),"Duclb")</f>
        <v>Duclb</v>
      </c>
      <c r="E365" s="57" t="str">
        <f>IFERROR(__xludf.DUMMYFUNCTION("""COMPUTED_VALUE"""),"56HG707951")</f>
        <v>56HG707951</v>
      </c>
      <c r="F365" s="46" t="str">
        <f>IFERROR(__xludf.DUMMYFUNCTION("""COMPUTED_VALUE"""),"Lô 1, Khu CN Hòa Xá, TP Nam Định, Tỉnh Nam Định")</f>
        <v>Lô 1, Khu CN Hòa Xá, TP Nam Định, Tỉnh Nam Định</v>
      </c>
      <c r="G365" s="46" t="str">
        <f>IFERROR(__xludf.DUMMYFUNCTION("""COMPUTED_VALUE"""),"Lỗi 19")</f>
        <v>Lỗi 19</v>
      </c>
      <c r="H365" s="46"/>
      <c r="I365" s="46"/>
      <c r="J365" s="46"/>
      <c r="K365" s="46" t="str">
        <f>IFERROR(__xludf.DUMMYFUNCTION("""COMPUTED_VALUE"""),"01 clamp")</f>
        <v>01 clamp</v>
      </c>
      <c r="L365" s="46"/>
      <c r="M365" s="46"/>
      <c r="N365" s="46"/>
      <c r="O365" s="46"/>
      <c r="P365" s="46"/>
      <c r="Q365" s="46" t="str">
        <f>IFERROR(__xludf.DUMMYFUNCTION("""COMPUTED_VALUE"""),"Hoàn thành")</f>
        <v>Hoàn thành</v>
      </c>
      <c r="R365" s="46"/>
      <c r="S365" s="46"/>
      <c r="T365" s="46"/>
      <c r="U365" s="46"/>
      <c r="V365" s="46"/>
      <c r="W365" s="46"/>
      <c r="X365" s="46"/>
      <c r="Y365" s="46"/>
      <c r="Z365" s="46"/>
      <c r="AA365" s="46"/>
    </row>
    <row r="366">
      <c r="A366" s="55">
        <f>IFERROR(__xludf.DUMMYFUNCTION("""COMPUTED_VALUE"""),44315.75993114583)</f>
        <v>44315.75993</v>
      </c>
      <c r="B366" s="56">
        <f>IFERROR(__xludf.DUMMYFUNCTION("""COMPUTED_VALUE"""),44315.0)</f>
        <v>44315</v>
      </c>
      <c r="C366" s="59" t="str">
        <f t="shared" si="3"/>
        <v/>
      </c>
      <c r="D366" s="46" t="str">
        <f>IFERROR(__xludf.DUMMYFUNCTION("""COMPUTED_VALUE"""),"Hieppn")</f>
        <v>Hieppn</v>
      </c>
      <c r="E366" s="57" t="str">
        <f>IFERROR(__xludf.DUMMYFUNCTION("""COMPUTED_VALUE"""),"56HG707990")</f>
        <v>56HG707990</v>
      </c>
      <c r="F366" s="46" t="str">
        <f>IFERROR(__xludf.DUMMYFUNCTION("""COMPUTED_VALUE"""),"PGD Lục Nam - Số 375 Phố Bình Minh, TT Đồi Ngô, Huyện Lục Nam , TT Bắc Giang")</f>
        <v>PGD Lục Nam - Số 375 Phố Bình Minh, TT Đồi Ngô, Huyện Lục Nam , TT Bắc Giang</v>
      </c>
      <c r="G366" s="46" t="str">
        <f>IFERROR(__xludf.DUMMYFUNCTION("""COMPUTED_VALUE"""),"Lỗi máy in kết hợp bảo trì ")</f>
        <v>Lỗi máy in kết hợp bảo trì </v>
      </c>
      <c r="H366" s="46"/>
      <c r="I366" s="46" t="str">
        <f>IFERROR(__xludf.DUMMYFUNCTION("""COMPUTED_VALUE"""),"Bảo trì")</f>
        <v>Bảo trì</v>
      </c>
      <c r="J366" s="46" t="str">
        <f>IFERROR(__xludf.DUMMYFUNCTION("""COMPUTED_VALUE"""),"Gỡ giấy kẹt kết hợp bảo trì")</f>
        <v>Gỡ giấy kẹt kết hợp bảo trì</v>
      </c>
      <c r="K366" s="46"/>
      <c r="L366" s="46"/>
      <c r="M366" s="46"/>
      <c r="N366" s="46"/>
      <c r="O366" s="46"/>
      <c r="P366" s="46"/>
      <c r="Q366" s="46" t="str">
        <f>IFERROR(__xludf.DUMMYFUNCTION("""COMPUTED_VALUE"""),"Hoàn thành")</f>
        <v>Hoàn thành</v>
      </c>
      <c r="R366" s="46"/>
      <c r="S366" s="46"/>
      <c r="T366" s="46"/>
      <c r="U366" s="46"/>
      <c r="V366" s="46"/>
      <c r="W366" s="46"/>
      <c r="X366" s="46"/>
      <c r="Y366" s="46"/>
      <c r="Z366" s="46"/>
      <c r="AA366" s="46"/>
    </row>
    <row r="367">
      <c r="A367" s="55">
        <f>IFERROR(__xludf.DUMMYFUNCTION("""COMPUTED_VALUE"""),44315.76113453704)</f>
        <v>44315.76113</v>
      </c>
      <c r="B367" s="56">
        <f>IFERROR(__xludf.DUMMYFUNCTION("""COMPUTED_VALUE"""),44315.0)</f>
        <v>44315</v>
      </c>
      <c r="C367" s="59" t="str">
        <f t="shared" si="3"/>
        <v/>
      </c>
      <c r="D367" s="46" t="str">
        <f>IFERROR(__xludf.DUMMYFUNCTION("""COMPUTED_VALUE"""),"Hieppn")</f>
        <v>Hieppn</v>
      </c>
      <c r="E367" s="57" t="str">
        <f>IFERROR(__xludf.DUMMYFUNCTION("""COMPUTED_VALUE"""),"56HGL03509")</f>
        <v>56HGL03509</v>
      </c>
      <c r="F367" s="46" t="str">
        <f>IFERROR(__xludf.DUMMYFUNCTION("""COMPUTED_VALUE"""),"Công ty Tín Phát, Thôn Hậu, Đại Lâm, Lạng Giang, Bắc Giang")</f>
        <v>Công ty Tín Phát, Thôn Hậu, Đại Lâm, Lạng Giang, Bắc Giang</v>
      </c>
      <c r="G367" s="46" t="str">
        <f>IFERROR(__xludf.DUMMYFUNCTION("""COMPUTED_VALUE"""),"Khắc phục sự cố kết hợp bảo trì")</f>
        <v>Khắc phục sự cố kết hợp bảo trì</v>
      </c>
      <c r="H367" s="46"/>
      <c r="I367" s="46" t="str">
        <f>IFERROR(__xludf.DUMMYFUNCTION("""COMPUTED_VALUE"""),"Bảo trì")</f>
        <v>Bảo trì</v>
      </c>
      <c r="J367" s="46" t="str">
        <f>IFERROR(__xludf.DUMMYFUNCTION("""COMPUTED_VALUE"""),"Thay thế pin CMD, kết hợp bảo trì")</f>
        <v>Thay thế pin CMD, kết hợp bảo trì</v>
      </c>
      <c r="K367" s="46" t="str">
        <f>IFERROR(__xludf.DUMMYFUNCTION("""COMPUTED_VALUE"""),"01pin CMD")</f>
        <v>01pin CMD</v>
      </c>
      <c r="L367" s="46"/>
      <c r="M367" s="46"/>
      <c r="N367" s="46"/>
      <c r="O367" s="46"/>
      <c r="P367" s="46"/>
      <c r="Q367" s="46" t="str">
        <f>IFERROR(__xludf.DUMMYFUNCTION("""COMPUTED_VALUE"""),"Hoàn thành")</f>
        <v>Hoàn thành</v>
      </c>
      <c r="R367" s="46"/>
      <c r="S367" s="46"/>
      <c r="T367" s="46"/>
      <c r="U367" s="46"/>
      <c r="V367" s="46"/>
      <c r="W367" s="46"/>
      <c r="X367" s="46"/>
      <c r="Y367" s="46"/>
      <c r="Z367" s="46"/>
      <c r="AA367" s="46"/>
    </row>
    <row r="368">
      <c r="A368" s="55">
        <f>IFERROR(__xludf.DUMMYFUNCTION("""COMPUTED_VALUE"""),44315.937421712966)</f>
        <v>44315.93742</v>
      </c>
      <c r="B368" s="56">
        <f>IFERROR(__xludf.DUMMYFUNCTION("""COMPUTED_VALUE"""),44314.0)</f>
        <v>44314</v>
      </c>
      <c r="C368" s="59" t="str">
        <f t="shared" si="3"/>
        <v/>
      </c>
      <c r="D368" s="46" t="str">
        <f>IFERROR(__xludf.DUMMYFUNCTION("""COMPUTED_VALUE"""),"Tunt")</f>
        <v>Tunt</v>
      </c>
      <c r="E368" s="57" t="str">
        <f>IFERROR(__xludf.DUMMYFUNCTION("""COMPUTED_VALUE"""),"56HG707949")</f>
        <v>56HG707949</v>
      </c>
      <c r="F368" s="46" t="str">
        <f>IFERROR(__xludf.DUMMYFUNCTION("""COMPUTED_VALUE"""),"Công ty TNHH MTV Cơ Khí Hóa chất 13, TT Tân Bình, Huyện Yên Sơn, Tỉnh Tuyên Quang")</f>
        <v>Công ty TNHH MTV Cơ Khí Hóa chất 13, TT Tân Bình, Huyện Yên Sơn, Tỉnh Tuyên Quang</v>
      </c>
      <c r="G368" s="46" t="str">
        <f>IFERROR(__xludf.DUMMYFUNCTION("""COMPUTED_VALUE"""),"Lỗi 2-9")</f>
        <v>Lỗi 2-9</v>
      </c>
      <c r="H368" s="46"/>
      <c r="I368" s="46" t="str">
        <f>IFERROR(__xludf.DUMMYFUNCTION("""COMPUTED_VALUE"""),"Bảo trì")</f>
        <v>Bảo trì</v>
      </c>
      <c r="J368" s="46" t="str">
        <f>IFERROR(__xludf.DUMMYFUNCTION("""COMPUTED_VALUE"""),"Căn chỉnh shutter")</f>
        <v>Căn chỉnh shutter</v>
      </c>
      <c r="K368" s="46"/>
      <c r="L368" s="46"/>
      <c r="M368" s="46"/>
      <c r="N368" s="46"/>
      <c r="O368" s="46"/>
      <c r="P368" s="46"/>
      <c r="Q368" s="46" t="str">
        <f>IFERROR(__xludf.DUMMYFUNCTION("""COMPUTED_VALUE"""),"Hoàn thành")</f>
        <v>Hoàn thành</v>
      </c>
      <c r="R368" s="46"/>
      <c r="S368" s="46"/>
      <c r="T368" s="46"/>
      <c r="U368" s="46"/>
      <c r="V368" s="46"/>
      <c r="W368" s="46"/>
      <c r="X368" s="46"/>
      <c r="Y368" s="46"/>
      <c r="Z368" s="46"/>
      <c r="AA368" s="46"/>
    </row>
    <row r="369">
      <c r="A369" s="55">
        <f>IFERROR(__xludf.DUMMYFUNCTION("""COMPUTED_VALUE"""),44315.93832649305)</f>
        <v>44315.93833</v>
      </c>
      <c r="B369" s="56">
        <f>IFERROR(__xludf.DUMMYFUNCTION("""COMPUTED_VALUE"""),44315.0)</f>
        <v>44315</v>
      </c>
      <c r="C369" s="59" t="str">
        <f t="shared" si="3"/>
        <v/>
      </c>
      <c r="D369" s="46" t="str">
        <f>IFERROR(__xludf.DUMMYFUNCTION("""COMPUTED_VALUE"""),"Tunt")</f>
        <v>Tunt</v>
      </c>
      <c r="E369" s="57" t="str">
        <f>IFERROR(__xludf.DUMMYFUNCTION("""COMPUTED_VALUE"""),"5310106126")</f>
        <v>5310106126</v>
      </c>
      <c r="F369" s="46" t="str">
        <f>IFERROR(__xludf.DUMMYFUNCTION("""COMPUTED_VALUE"""),"Trung tâm Kinh doanh VNPT, tổ 32, P. Tân Quang, TP. Tuyên Quang")</f>
        <v>Trung tâm Kinh doanh VNPT, tổ 32, P. Tân Quang, TP. Tuyên Quang</v>
      </c>
      <c r="G369" s="46" t="str">
        <f>IFERROR(__xludf.DUMMYFUNCTION("""COMPUTED_VALUE"""),"Lỗi khay 200k")</f>
        <v>Lỗi khay 200k</v>
      </c>
      <c r="H369" s="46"/>
      <c r="I369" s="46"/>
      <c r="J369" s="46" t="str">
        <f>IFERROR(__xludf.DUMMYFUNCTION("""COMPUTED_VALUE"""),"Căn chỉnh GAP")</f>
        <v>Căn chỉnh GAP</v>
      </c>
      <c r="K369" s="46"/>
      <c r="L369" s="46"/>
      <c r="M369" s="46"/>
      <c r="N369" s="46"/>
      <c r="O369" s="46"/>
      <c r="P369" s="46"/>
      <c r="Q369" s="46" t="str">
        <f>IFERROR(__xludf.DUMMYFUNCTION("""COMPUTED_VALUE"""),"Hoàn thành")</f>
        <v>Hoàn thành</v>
      </c>
      <c r="R369" s="46"/>
      <c r="S369" s="46"/>
      <c r="T369" s="46"/>
      <c r="U369" s="46"/>
      <c r="V369" s="46"/>
      <c r="W369" s="46"/>
      <c r="X369" s="46"/>
      <c r="Y369" s="46"/>
      <c r="Z369" s="46"/>
      <c r="AA369" s="46"/>
    </row>
    <row r="370">
      <c r="A370" s="55">
        <f>IFERROR(__xludf.DUMMYFUNCTION("""COMPUTED_VALUE"""),44315.95408473379)</f>
        <v>44315.95408</v>
      </c>
      <c r="B370" s="56">
        <f>IFERROR(__xludf.DUMMYFUNCTION("""COMPUTED_VALUE"""),44315.0)</f>
        <v>44315</v>
      </c>
      <c r="C370" s="59" t="str">
        <f t="shared" si="3"/>
        <v/>
      </c>
      <c r="D370" s="46" t="str">
        <f>IFERROR(__xludf.DUMMYFUNCTION("""COMPUTED_VALUE"""),"thangnx")</f>
        <v>thangnx</v>
      </c>
      <c r="E370" s="57" t="str">
        <f>IFERROR(__xludf.DUMMYFUNCTION("""COMPUTED_VALUE"""),"5300380412")</f>
        <v>5300380412</v>
      </c>
      <c r="F370" s="46" t="str">
        <f>IFERROR(__xludf.DUMMYFUNCTION("""COMPUTED_VALUE"""),"Phố Lê Bình - TT Thanh Miện, H. Thanh Miện - T. Hải Dương")</f>
        <v>Phố Lê Bình - TT Thanh Miện, H. Thanh Miện - T. Hải Dương</v>
      </c>
      <c r="G370" s="46" t="str">
        <f>IFERROR(__xludf.DUMMYFUNCTION("""COMPUTED_VALUE"""),"Lỗi BPTT")</f>
        <v>Lỗi BPTT</v>
      </c>
      <c r="H370" s="46"/>
      <c r="I370" s="46"/>
      <c r="J370" s="46"/>
      <c r="K370" s="46" t="str">
        <f>IFERROR(__xludf.DUMMYFUNCTION("""COMPUTED_VALUE"""),"01 extractor")</f>
        <v>01 extractor</v>
      </c>
      <c r="L370" s="46"/>
      <c r="M370" s="46"/>
      <c r="N370" s="46"/>
      <c r="O370" s="46"/>
      <c r="P370" s="46"/>
      <c r="Q370" s="46" t="str">
        <f>IFERROR(__xludf.DUMMYFUNCTION("""COMPUTED_VALUE"""),"Hoàn thành")</f>
        <v>Hoàn thành</v>
      </c>
      <c r="R370" s="46"/>
      <c r="S370" s="46"/>
      <c r="T370" s="46"/>
      <c r="U370" s="46"/>
      <c r="V370" s="46"/>
      <c r="W370" s="46"/>
      <c r="X370" s="46"/>
      <c r="Y370" s="46"/>
      <c r="Z370" s="46"/>
      <c r="AA370" s="46"/>
    </row>
    <row r="371">
      <c r="A371" s="55">
        <f>IFERROR(__xludf.DUMMYFUNCTION("""COMPUTED_VALUE"""),44315.9548771875)</f>
        <v>44315.95488</v>
      </c>
      <c r="B371" s="56">
        <f>IFERROR(__xludf.DUMMYFUNCTION("""COMPUTED_VALUE"""),44315.0)</f>
        <v>44315</v>
      </c>
      <c r="C371" s="59" t="str">
        <f t="shared" si="3"/>
        <v/>
      </c>
      <c r="D371" s="46" t="str">
        <f>IFERROR(__xludf.DUMMYFUNCTION("""COMPUTED_VALUE"""),"thangnx")</f>
        <v>thangnx</v>
      </c>
      <c r="E371" s="57" t="str">
        <f>IFERROR(__xludf.DUMMYFUNCTION("""COMPUTED_VALUE"""),"5310105833")</f>
        <v>5310105833</v>
      </c>
      <c r="F371" s="46" t="str">
        <f>IFERROR(__xludf.DUMMYFUNCTION("""COMPUTED_VALUE"""),"Agribank huyện Thanh Miện, số 163 Nguyễn Lương Bằng, thị trấn Thanh Miện, huyện Thanh Miện, Hải Dương")</f>
        <v>Agribank huyện Thanh Miện, số 163 Nguyễn Lương Bằng, thị trấn Thanh Miện, huyện Thanh Miện, Hải Dương</v>
      </c>
      <c r="G371" s="46" t="str">
        <f>IFERROR(__xludf.DUMMYFUNCTION("""COMPUTED_VALUE"""),"Lỗi BPTT")</f>
        <v>Lỗi BPTT</v>
      </c>
      <c r="H371" s="46"/>
      <c r="I371" s="46"/>
      <c r="J371" s="46" t="str">
        <f>IFERROR(__xludf.DUMMYFUNCTION("""COMPUTED_VALUE"""),"load fw")</f>
        <v>load fw</v>
      </c>
      <c r="K371" s="46"/>
      <c r="L371" s="46"/>
      <c r="M371" s="46"/>
      <c r="N371" s="46"/>
      <c r="O371" s="46"/>
      <c r="P371" s="46"/>
      <c r="Q371" s="46" t="str">
        <f>IFERROR(__xludf.DUMMYFUNCTION("""COMPUTED_VALUE"""),"Hoàn thành")</f>
        <v>Hoàn thành</v>
      </c>
      <c r="R371" s="46"/>
      <c r="S371" s="46"/>
      <c r="T371" s="46"/>
      <c r="U371" s="46"/>
      <c r="V371" s="46"/>
      <c r="W371" s="46"/>
      <c r="X371" s="46"/>
      <c r="Y371" s="46"/>
      <c r="Z371" s="46"/>
      <c r="AA371" s="46"/>
    </row>
    <row r="372">
      <c r="A372" s="55">
        <f>IFERROR(__xludf.DUMMYFUNCTION("""COMPUTED_VALUE"""),44319.411266446754)</f>
        <v>44319.41127</v>
      </c>
      <c r="B372" s="56">
        <f>IFERROR(__xludf.DUMMYFUNCTION("""COMPUTED_VALUE"""),44319.0)</f>
        <v>44319</v>
      </c>
      <c r="C372" s="59" t="str">
        <f t="shared" si="3"/>
        <v/>
      </c>
      <c r="D372" s="46" t="str">
        <f>IFERROR(__xludf.DUMMYFUNCTION("""COMPUTED_VALUE"""),"Tuanva")</f>
        <v>Tuanva</v>
      </c>
      <c r="E372" s="57" t="str">
        <f>IFERROR(__xludf.DUMMYFUNCTION("""COMPUTED_VALUE"""),"5310183240")</f>
        <v>5310183240</v>
      </c>
      <c r="F372" s="46" t="str">
        <f>IFERROR(__xludf.DUMMYFUNCTION("""COMPUTED_VALUE"""),"Xóm Gió, xã Ký Phú, huyện Đại Từ, tỉnh Thái Nguyên")</f>
        <v>Xóm Gió, xã Ký Phú, huyện Đại Từ, tỉnh Thái Nguyên</v>
      </c>
      <c r="G372" s="46" t="str">
        <f>IFERROR(__xludf.DUMMYFUNCTION("""COMPUTED_VALUE"""),"Pc bật không lên")</f>
        <v>Pc bật không lên</v>
      </c>
      <c r="H372" s="46"/>
      <c r="I372" s="46" t="str">
        <f>IFERROR(__xludf.DUMMYFUNCTION("""COMPUTED_VALUE"""),"Bảo trì")</f>
        <v>Bảo trì</v>
      </c>
      <c r="J372" s="46" t="str">
        <f>IFERROR(__xludf.DUMMYFUNCTION("""COMPUTED_VALUE"""),"Thay thế main PC")</f>
        <v>Thay thế main PC</v>
      </c>
      <c r="K372" s="46" t="str">
        <f>IFERROR(__xludf.DUMMYFUNCTION("""COMPUTED_VALUE"""),"Thay 01 main PC")</f>
        <v>Thay 01 main PC</v>
      </c>
      <c r="L372" s="46"/>
      <c r="M372" s="46"/>
      <c r="N372" s="46"/>
      <c r="O372" s="46"/>
      <c r="P372" s="46"/>
      <c r="Q372" s="46" t="str">
        <f>IFERROR(__xludf.DUMMYFUNCTION("""COMPUTED_VALUE"""),"Hoàn thành")</f>
        <v>Hoàn thành</v>
      </c>
      <c r="R372" s="46"/>
      <c r="S372" s="46"/>
      <c r="T372" s="46"/>
      <c r="U372" s="46"/>
      <c r="V372" s="46"/>
      <c r="W372" s="46"/>
      <c r="X372" s="46"/>
      <c r="Y372" s="46"/>
      <c r="Z372" s="46"/>
      <c r="AA372" s="46"/>
    </row>
    <row r="373">
      <c r="A373" s="55">
        <f>IFERROR(__xludf.DUMMYFUNCTION("""COMPUTED_VALUE"""),44319.74395092593)</f>
        <v>44319.74395</v>
      </c>
      <c r="B373" s="56">
        <f>IFERROR(__xludf.DUMMYFUNCTION("""COMPUTED_VALUE"""),44317.0)</f>
        <v>44317</v>
      </c>
      <c r="C373" s="59" t="str">
        <f t="shared" si="3"/>
        <v>Báo cáo muộn</v>
      </c>
      <c r="D373" s="46" t="str">
        <f>IFERROR(__xludf.DUMMYFUNCTION("""COMPUTED_VALUE"""),"Hieppn ")</f>
        <v>Hieppn </v>
      </c>
      <c r="E373" s="57" t="str">
        <f>IFERROR(__xludf.DUMMYFUNCTION("""COMPUTED_VALUE"""),"5310105833")</f>
        <v>5310105833</v>
      </c>
      <c r="F373" s="46" t="str">
        <f>IFERROR(__xludf.DUMMYFUNCTION("""COMPUTED_VALUE"""),"Agribank huyện Thanh Miện, số 163 Nguyễn Lương Bằng, thị trấn Thanh Miện, huyện Thanh Miện, Hải Dương")</f>
        <v>Agribank huyện Thanh Miện, số 163 Nguyễn Lương Bằng, thị trấn Thanh Miện, huyện Thanh Miện, Hải Dương</v>
      </c>
      <c r="G373" s="46" t="str">
        <f>IFERROR(__xludf.DUMMYFUNCTION("""COMPUTED_VALUE"""),"Lỗi bộ trả tiền")</f>
        <v>Lỗi bộ trả tiền</v>
      </c>
      <c r="H373" s="46"/>
      <c r="I373" s="46"/>
      <c r="J373" s="46" t="str">
        <f>IFERROR(__xludf.DUMMYFUNCTION("""COMPUTED_VALUE"""),"Thay thế ")</f>
        <v>Thay thế </v>
      </c>
      <c r="K373" s="46" t="str">
        <f>IFERROR(__xludf.DUMMYFUNCTION("""COMPUTED_VALUE"""),"01 presentor ")</f>
        <v>01 presentor </v>
      </c>
      <c r="L373" s="46"/>
      <c r="M373" s="46"/>
      <c r="N373" s="46"/>
      <c r="O373" s="46"/>
      <c r="P373" s="46"/>
      <c r="Q373" s="46" t="str">
        <f>IFERROR(__xludf.DUMMYFUNCTION("""COMPUTED_VALUE"""),"Hoàn thành")</f>
        <v>Hoàn thành</v>
      </c>
      <c r="R373" s="46"/>
      <c r="S373" s="46"/>
      <c r="T373" s="46"/>
      <c r="U373" s="46"/>
      <c r="V373" s="46"/>
      <c r="W373" s="46"/>
      <c r="X373" s="46"/>
      <c r="Y373" s="46"/>
      <c r="Z373" s="46"/>
      <c r="AA373" s="46"/>
    </row>
    <row r="374">
      <c r="A374" s="55">
        <f>IFERROR(__xludf.DUMMYFUNCTION("""COMPUTED_VALUE"""),44320.36766322917)</f>
        <v>44320.36766</v>
      </c>
      <c r="B374" s="56">
        <f>IFERROR(__xludf.DUMMYFUNCTION("""COMPUTED_VALUE"""),44316.0)</f>
        <v>44316</v>
      </c>
      <c r="C374" s="59" t="str">
        <f t="shared" si="3"/>
        <v>Báo cáo muộn</v>
      </c>
      <c r="D374" s="46" t="str">
        <f>IFERROR(__xludf.DUMMYFUNCTION("""COMPUTED_VALUE"""),"thuongd")</f>
        <v>thuongd</v>
      </c>
      <c r="E374" s="57" t="str">
        <f>IFERROR(__xludf.DUMMYFUNCTION("""COMPUTED_VALUE"""),"5300381704")</f>
        <v>5300381704</v>
      </c>
      <c r="F374" s="46" t="str">
        <f>IFERROR(__xludf.DUMMYFUNCTION("""COMPUTED_VALUE"""),"Xóm 22, xã Nghi Trung, H.Nghi Lộc, Nghệ An")</f>
        <v>Xóm 22, xã Nghi Trung, H.Nghi Lộc, Nghệ An</v>
      </c>
      <c r="G374" s="46" t="str">
        <f>IFERROR(__xludf.DUMMYFUNCTION("""COMPUTED_VALUE"""),"lỗi các hộp tiền/ tiền loại nhiều")</f>
        <v>lỗi các hộp tiền/ tiền loại nhiều</v>
      </c>
      <c r="H374" s="46"/>
      <c r="I374" s="46"/>
      <c r="J374" s="46" t="str">
        <f>IFERROR(__xludf.DUMMYFUNCTION("""COMPUTED_VALUE"""),"Vệ sinh máy")</f>
        <v>Vệ sinh máy</v>
      </c>
      <c r="K374" s="46" t="str">
        <f>IFERROR(__xludf.DUMMYFUNCTION("""COMPUTED_VALUE"""),"Trục GAP")</f>
        <v>Trục GAP</v>
      </c>
      <c r="L374" s="46"/>
      <c r="M374" s="46"/>
      <c r="N374" s="46"/>
      <c r="O374" s="46"/>
      <c r="P374" s="46"/>
      <c r="Q374" s="46" t="str">
        <f>IFERROR(__xludf.DUMMYFUNCTION("""COMPUTED_VALUE"""),"Hoàn thành")</f>
        <v>Hoàn thành</v>
      </c>
      <c r="R374" s="46"/>
      <c r="S374" s="46"/>
      <c r="T374" s="46"/>
      <c r="U374" s="46"/>
      <c r="V374" s="46"/>
      <c r="W374" s="46"/>
      <c r="X374" s="46"/>
      <c r="Y374" s="46"/>
      <c r="Z374" s="46"/>
      <c r="AA374" s="46"/>
    </row>
    <row r="375">
      <c r="A375" s="55">
        <f>IFERROR(__xludf.DUMMYFUNCTION("""COMPUTED_VALUE"""),44320.36821123843)</f>
        <v>44320.36821</v>
      </c>
      <c r="B375" s="56">
        <f>IFERROR(__xludf.DUMMYFUNCTION("""COMPUTED_VALUE"""),44317.0)</f>
        <v>44317</v>
      </c>
      <c r="C375" s="59" t="str">
        <f t="shared" si="3"/>
        <v>Báo cáo muộn</v>
      </c>
      <c r="D375" s="46" t="str">
        <f>IFERROR(__xludf.DUMMYFUNCTION("""COMPUTED_VALUE"""),"thuongd")</f>
        <v>thuongd</v>
      </c>
      <c r="E375" s="57" t="str">
        <f>IFERROR(__xludf.DUMMYFUNCTION("""COMPUTED_VALUE"""),"5310183234")</f>
        <v>5310183234</v>
      </c>
      <c r="F375" s="46" t="str">
        <f>IFERROR(__xludf.DUMMYFUNCTION("""COMPUTED_VALUE"""),"Số 04, đường Tả Ao, Thị trấn Nghi Xuân, Hà Tĩnh")</f>
        <v>Số 04, đường Tả Ao, Thị trấn Nghi Xuân, Hà Tĩnh</v>
      </c>
      <c r="G375" s="46" t="str">
        <f>IFERROR(__xludf.DUMMYFUNCTION("""COMPUTED_VALUE"""),"tiền loại nhiều")</f>
        <v>tiền loại nhiều</v>
      </c>
      <c r="H375" s="46"/>
      <c r="I375" s="46"/>
      <c r="J375" s="46" t="str">
        <f>IFERROR(__xludf.DUMMYFUNCTION("""COMPUTED_VALUE"""),"Vệ sinh máy")</f>
        <v>Vệ sinh máy</v>
      </c>
      <c r="K375" s="46"/>
      <c r="L375" s="46"/>
      <c r="M375" s="46"/>
      <c r="N375" s="46"/>
      <c r="O375" s="46"/>
      <c r="P375" s="46"/>
      <c r="Q375" s="46" t="str">
        <f>IFERROR(__xludf.DUMMYFUNCTION("""COMPUTED_VALUE"""),"Hoàn thành")</f>
        <v>Hoàn thành</v>
      </c>
      <c r="R375" s="46"/>
      <c r="S375" s="46"/>
      <c r="T375" s="46"/>
      <c r="U375" s="46"/>
      <c r="V375" s="46"/>
      <c r="W375" s="46"/>
      <c r="X375" s="46"/>
      <c r="Y375" s="46"/>
      <c r="Z375" s="46"/>
      <c r="AA375" s="46"/>
    </row>
    <row r="376">
      <c r="A376" s="55">
        <f>IFERROR(__xludf.DUMMYFUNCTION("""COMPUTED_VALUE"""),44320.36901289352)</f>
        <v>44320.36901</v>
      </c>
      <c r="B376" s="56">
        <f>IFERROR(__xludf.DUMMYFUNCTION("""COMPUTED_VALUE"""),44318.0)</f>
        <v>44318</v>
      </c>
      <c r="C376" s="59" t="str">
        <f t="shared" si="3"/>
        <v>Báo cáo muộn</v>
      </c>
      <c r="D376" s="46" t="str">
        <f>IFERROR(__xludf.DUMMYFUNCTION("""COMPUTED_VALUE"""),"thuongd")</f>
        <v>thuongd</v>
      </c>
      <c r="E376" s="57" t="str">
        <f>IFERROR(__xludf.DUMMYFUNCTION("""COMPUTED_VALUE"""),"5300380354")</f>
        <v>5300380354</v>
      </c>
      <c r="F376" s="46" t="str">
        <f>IFERROR(__xludf.DUMMYFUNCTION("""COMPUTED_VALUE"""),"Xóm Hợp Thuận, xã Xuân Phổ, Nghi Xuân, Hà Tĩnh")</f>
        <v>Xóm Hợp Thuận, xã Xuân Phổ, Nghi Xuân, Hà Tĩnh</v>
      </c>
      <c r="G376" s="46" t="str">
        <f>IFERROR(__xludf.DUMMYFUNCTION("""COMPUTED_VALUE"""),"đứt dây coroa Ex, pre")</f>
        <v>đứt dây coroa Ex, pre</v>
      </c>
      <c r="H376" s="46"/>
      <c r="I376" s="46"/>
      <c r="J376" s="46" t="str">
        <f>IFERROR(__xludf.DUMMYFUNCTION("""COMPUTED_VALUE"""),"thay dây coroa Ex, Pre")</f>
        <v>thay dây coroa Ex, Pre</v>
      </c>
      <c r="K376" s="46"/>
      <c r="L376" s="46"/>
      <c r="M376" s="46"/>
      <c r="N376" s="46"/>
      <c r="O376" s="46"/>
      <c r="P376" s="46"/>
      <c r="Q376" s="46" t="str">
        <f>IFERROR(__xludf.DUMMYFUNCTION("""COMPUTED_VALUE"""),"Hoàn thành")</f>
        <v>Hoàn thành</v>
      </c>
      <c r="R376" s="46"/>
      <c r="S376" s="46"/>
      <c r="T376" s="46"/>
      <c r="U376" s="46"/>
      <c r="V376" s="46"/>
      <c r="W376" s="46"/>
      <c r="X376" s="46"/>
      <c r="Y376" s="46"/>
      <c r="Z376" s="46"/>
      <c r="AA376" s="46"/>
    </row>
    <row r="377">
      <c r="A377" s="55">
        <f>IFERROR(__xludf.DUMMYFUNCTION("""COMPUTED_VALUE"""),44320.6542778588)</f>
        <v>44320.65428</v>
      </c>
      <c r="B377" s="56">
        <f>IFERROR(__xludf.DUMMYFUNCTION("""COMPUTED_VALUE"""),44320.0)</f>
        <v>44320</v>
      </c>
      <c r="C377" s="59" t="str">
        <f t="shared" si="3"/>
        <v/>
      </c>
      <c r="D377" s="46" t="str">
        <f>IFERROR(__xludf.DUMMYFUNCTION("""COMPUTED_VALUE"""),"Tuanva")</f>
        <v>Tuanva</v>
      </c>
      <c r="E377" s="57" t="str">
        <f>IFERROR(__xludf.DUMMYFUNCTION("""COMPUTED_VALUE"""),"56HG707951")</f>
        <v>56HG707951</v>
      </c>
      <c r="F377" s="46" t="str">
        <f>IFERROR(__xludf.DUMMYFUNCTION("""COMPUTED_VALUE"""),"Lô 1, Khu CN Hòa Xá, TP Nam Định, Tỉnh Nam Định")</f>
        <v>Lô 1, Khu CN Hòa Xá, TP Nam Định, Tỉnh Nam Định</v>
      </c>
      <c r="G377" s="46" t="str">
        <f>IFERROR(__xludf.DUMMYFUNCTION("""COMPUTED_VALUE"""),"Lỗi no data")</f>
        <v>Lỗi no data</v>
      </c>
      <c r="H377" s="46"/>
      <c r="I377" s="46"/>
      <c r="J377" s="46" t="str">
        <f>IFERROR(__xludf.DUMMYFUNCTION("""COMPUTED_VALUE"""),"Thay thế 01 main cmd,học tiền")</f>
        <v>Thay thế 01 main cmd,học tiền</v>
      </c>
      <c r="K377" s="46" t="str">
        <f>IFERROR(__xludf.DUMMYFUNCTION("""COMPUTED_VALUE"""),"01 main cmd")</f>
        <v>01 main cmd</v>
      </c>
      <c r="L377" s="46"/>
      <c r="M377" s="46"/>
      <c r="N377" s="46"/>
      <c r="O377" s="46"/>
      <c r="P377" s="46"/>
      <c r="Q377" s="46" t="str">
        <f>IFERROR(__xludf.DUMMYFUNCTION("""COMPUTED_VALUE"""),"Hoàn thành")</f>
        <v>Hoàn thành</v>
      </c>
      <c r="R377" s="46"/>
      <c r="S377" s="46"/>
      <c r="T377" s="46"/>
      <c r="U377" s="46"/>
      <c r="V377" s="46"/>
      <c r="W377" s="46"/>
      <c r="X377" s="46"/>
      <c r="Y377" s="46"/>
      <c r="Z377" s="46"/>
      <c r="AA377" s="46"/>
    </row>
    <row r="378">
      <c r="A378" s="55">
        <f>IFERROR(__xludf.DUMMYFUNCTION("""COMPUTED_VALUE"""),44320.69831415509)</f>
        <v>44320.69831</v>
      </c>
      <c r="B378" s="56">
        <f>IFERROR(__xludf.DUMMYFUNCTION("""COMPUTED_VALUE"""),44320.0)</f>
        <v>44320</v>
      </c>
      <c r="C378" s="59" t="str">
        <f t="shared" si="3"/>
        <v/>
      </c>
      <c r="D378" s="46" t="str">
        <f>IFERROR(__xludf.DUMMYFUNCTION("""COMPUTED_VALUE"""),"Duclb")</f>
        <v>Duclb</v>
      </c>
      <c r="E378" s="57" t="str">
        <f>IFERROR(__xludf.DUMMYFUNCTION("""COMPUTED_VALUE"""),"56HG707959")</f>
        <v>56HG707959</v>
      </c>
      <c r="F378" s="46" t="str">
        <f>IFERROR(__xludf.DUMMYFUNCTION("""COMPUTED_VALUE"""),"Nhà máy Z117, Đông Xuân, Sóc Sơn, Hà Nội")</f>
        <v>Nhà máy Z117, Đông Xuân, Sóc Sơn, Hà Nội</v>
      </c>
      <c r="G378" s="46" t="str">
        <f>IFERROR(__xludf.DUMMYFUNCTION("""COMPUTED_VALUE"""),"Lỗi máy in hoá đơn, bptt")</f>
        <v>Lỗi máy in hoá đơn, bptt</v>
      </c>
      <c r="H378" s="46"/>
      <c r="I378" s="46"/>
      <c r="J378" s="46" t="str">
        <f>IFERROR(__xludf.DUMMYFUNCTION("""COMPUTED_VALUE"""),"Vệ sinh bộ trả tiền, thay 04 vòng quấn máy in")</f>
        <v>Vệ sinh bộ trả tiền, thay 04 vòng quấn máy in</v>
      </c>
      <c r="K378" s="46"/>
      <c r="L378" s="46"/>
      <c r="M378" s="46"/>
      <c r="N378" s="46"/>
      <c r="O378" s="46"/>
      <c r="P378" s="46"/>
      <c r="Q378" s="46" t="str">
        <f>IFERROR(__xludf.DUMMYFUNCTION("""COMPUTED_VALUE"""),"Hoàn thành")</f>
        <v>Hoàn thành</v>
      </c>
      <c r="R378" s="46"/>
      <c r="S378" s="46"/>
      <c r="T378" s="46"/>
      <c r="U378" s="46"/>
      <c r="V378" s="46"/>
      <c r="W378" s="46"/>
      <c r="X378" s="46"/>
      <c r="Y378" s="46"/>
      <c r="Z378" s="46"/>
      <c r="AA378" s="46"/>
    </row>
    <row r="379">
      <c r="A379" s="55">
        <f>IFERROR(__xludf.DUMMYFUNCTION("""COMPUTED_VALUE"""),44320.78333006945)</f>
        <v>44320.78333</v>
      </c>
      <c r="B379" s="56">
        <f>IFERROR(__xludf.DUMMYFUNCTION("""COMPUTED_VALUE"""),44320.0)</f>
        <v>44320</v>
      </c>
      <c r="C379" s="59" t="str">
        <f t="shared" si="3"/>
        <v/>
      </c>
      <c r="D379" s="46" t="str">
        <f>IFERROR(__xludf.DUMMYFUNCTION("""COMPUTED_VALUE"""),"Hieppn")</f>
        <v>Hieppn</v>
      </c>
      <c r="E379" s="57" t="str">
        <f>IFERROR(__xludf.DUMMYFUNCTION("""COMPUTED_VALUE"""),"56HG707968")</f>
        <v>56HG707968</v>
      </c>
      <c r="F379" s="46" t="str">
        <f>IFERROR(__xludf.DUMMYFUNCTION("""COMPUTED_VALUE"""),"Nhà máy Z179 - Thanh Trì, Hà Nội")</f>
        <v>Nhà máy Z179 - Thanh Trì, Hà Nội</v>
      </c>
      <c r="G379" s="46" t="str">
        <f>IFERROR(__xludf.DUMMYFUNCTION("""COMPUTED_VALUE"""),"Lỗi máy in")</f>
        <v>Lỗi máy in</v>
      </c>
      <c r="H379" s="46"/>
      <c r="I379" s="46"/>
      <c r="J379" s="46" t="str">
        <f>IFERROR(__xludf.DUMMYFUNCTION("""COMPUTED_VALUE"""),"Thay thế")</f>
        <v>Thay thế</v>
      </c>
      <c r="K379" s="46" t="str">
        <f>IFERROR(__xludf.DUMMYFUNCTION("""COMPUTED_VALUE"""),"01 máy in biên lai")</f>
        <v>01 máy in biên lai</v>
      </c>
      <c r="L379" s="46"/>
      <c r="M379" s="46"/>
      <c r="N379" s="46"/>
      <c r="O379" s="46"/>
      <c r="P379" s="46"/>
      <c r="Q379" s="46" t="str">
        <f>IFERROR(__xludf.DUMMYFUNCTION("""COMPUTED_VALUE"""),"Hoàn thành")</f>
        <v>Hoàn thành</v>
      </c>
      <c r="R379" s="46"/>
      <c r="S379" s="46"/>
      <c r="T379" s="46"/>
      <c r="U379" s="46"/>
      <c r="V379" s="46"/>
      <c r="W379" s="46"/>
      <c r="X379" s="46"/>
      <c r="Y379" s="46"/>
      <c r="Z379" s="46"/>
      <c r="AA379" s="46"/>
    </row>
    <row r="380">
      <c r="A380" s="55">
        <f>IFERROR(__xludf.DUMMYFUNCTION("""COMPUTED_VALUE"""),44320.94368653935)</f>
        <v>44320.94369</v>
      </c>
      <c r="B380" s="56">
        <f>IFERROR(__xludf.DUMMYFUNCTION("""COMPUTED_VALUE"""),44320.0)</f>
        <v>44320</v>
      </c>
      <c r="C380" s="59" t="str">
        <f t="shared" si="3"/>
        <v/>
      </c>
      <c r="D380" s="46" t="str">
        <f>IFERROR(__xludf.DUMMYFUNCTION("""COMPUTED_VALUE"""),"thangnx")</f>
        <v>thangnx</v>
      </c>
      <c r="E380" s="57" t="str">
        <f>IFERROR(__xludf.DUMMYFUNCTION("""COMPUTED_VALUE"""),"5300380536")</f>
        <v>5300380536</v>
      </c>
      <c r="F380" s="46" t="str">
        <f>IFERROR(__xludf.DUMMYFUNCTION("""COMPUTED_VALUE"""),"PGD Khu Đông, xã Hùng Dũng, Hưng Hà, Thái Bình")</f>
        <v>PGD Khu Đông, xã Hùng Dũng, Hưng Hà, Thái Bình</v>
      </c>
      <c r="G380" s="46" t="str">
        <f>IFERROR(__xludf.DUMMYFUNCTION("""COMPUTED_VALUE"""),"Lỗi 0-1")</f>
        <v>Lỗi 0-1</v>
      </c>
      <c r="H380" s="46"/>
      <c r="I380" s="46"/>
      <c r="J380" s="46"/>
      <c r="K380" s="46" t="str">
        <f>IFERROR(__xludf.DUMMYFUNCTION("""COMPUTED_VALUE"""),"01 DDU")</f>
        <v>01 DDU</v>
      </c>
      <c r="L380" s="46"/>
      <c r="M380" s="46"/>
      <c r="N380" s="46"/>
      <c r="O380" s="46"/>
      <c r="P380" s="46"/>
      <c r="Q380" s="46" t="str">
        <f>IFERROR(__xludf.DUMMYFUNCTION("""COMPUTED_VALUE"""),"Hoàn thành")</f>
        <v>Hoàn thành</v>
      </c>
      <c r="R380" s="46"/>
      <c r="S380" s="46"/>
      <c r="T380" s="46"/>
      <c r="U380" s="46"/>
      <c r="V380" s="46"/>
      <c r="W380" s="46"/>
      <c r="X380" s="46"/>
      <c r="Y380" s="46"/>
      <c r="Z380" s="46"/>
      <c r="AA380" s="46"/>
    </row>
    <row r="381">
      <c r="A381" s="55">
        <f>IFERROR(__xludf.DUMMYFUNCTION("""COMPUTED_VALUE"""),44320.998890358795)</f>
        <v>44320.99889</v>
      </c>
      <c r="B381" s="56">
        <f>IFERROR(__xludf.DUMMYFUNCTION("""COMPUTED_VALUE"""),44320.0)</f>
        <v>44320</v>
      </c>
      <c r="C381" s="59" t="str">
        <f t="shared" si="3"/>
        <v/>
      </c>
      <c r="D381" s="46" t="str">
        <f>IFERROR(__xludf.DUMMYFUNCTION("""COMPUTED_VALUE"""),"Bannt")</f>
        <v>Bannt</v>
      </c>
      <c r="E381" s="57" t="str">
        <f>IFERROR(__xludf.DUMMYFUNCTION("""COMPUTED_VALUE"""),"5300380063")</f>
        <v>5300380063</v>
      </c>
      <c r="F381" s="46" t="str">
        <f>IFERROR(__xludf.DUMMYFUNCTION("""COMPUTED_VALUE"""),"Thị trấn Vương - Tiên Lữ - Hưng Yên")</f>
        <v>Thị trấn Vương - Tiên Lữ - Hưng Yên</v>
      </c>
      <c r="G381" s="46" t="str">
        <f>IFERROR(__xludf.DUMMYFUNCTION("""COMPUTED_VALUE"""),"Không ra tiền 50, máy hay bị kẹt tiền")</f>
        <v>Không ra tiền 50, máy hay bị kẹt tiền</v>
      </c>
      <c r="H381" s="46"/>
      <c r="I381" s="46" t="str">
        <f>IFERROR(__xludf.DUMMYFUNCTION("""COMPUTED_VALUE"""),"Bảo trì")</f>
        <v>Bảo trì</v>
      </c>
      <c r="J381" s="46" t="str">
        <f>IFERROR(__xludf.DUMMYFUNCTION("""COMPUTED_VALUE"""),"Bảo trì, căn chỉnh bptt")</f>
        <v>Bảo trì, căn chỉnh bptt</v>
      </c>
      <c r="K381" s="46" t="str">
        <f>IFERROR(__xludf.DUMMYFUNCTION("""COMPUTED_VALUE"""),"01 trục đen")</f>
        <v>01 trục đen</v>
      </c>
      <c r="L381" s="46" t="str">
        <f>IFERROR(__xludf.DUMMYFUNCTION("""COMPUTED_VALUE"""),"01 răng lược")</f>
        <v>01 răng lược</v>
      </c>
      <c r="M381" s="46"/>
      <c r="N381" s="46"/>
      <c r="O381" s="46"/>
      <c r="P381" s="46"/>
      <c r="Q381" s="46" t="str">
        <f>IFERROR(__xludf.DUMMYFUNCTION("""COMPUTED_VALUE"""),"Hoàn thành")</f>
        <v>Hoàn thành</v>
      </c>
      <c r="R381" s="46"/>
      <c r="S381" s="46"/>
      <c r="T381" s="46"/>
      <c r="U381" s="46"/>
      <c r="V381" s="46"/>
      <c r="W381" s="46"/>
      <c r="X381" s="46"/>
      <c r="Y381" s="46"/>
      <c r="Z381" s="46"/>
      <c r="AA381" s="46"/>
    </row>
    <row r="382">
      <c r="A382" s="55">
        <f>IFERROR(__xludf.DUMMYFUNCTION("""COMPUTED_VALUE"""),44321.3403507176)</f>
        <v>44321.34035</v>
      </c>
      <c r="B382" s="56">
        <f>IFERROR(__xludf.DUMMYFUNCTION("""COMPUTED_VALUE"""),44320.0)</f>
        <v>44320</v>
      </c>
      <c r="C382" s="59" t="str">
        <f t="shared" si="3"/>
        <v/>
      </c>
      <c r="D382" s="46" t="str">
        <f>IFERROR(__xludf.DUMMYFUNCTION("""COMPUTED_VALUE"""),"Tunt")</f>
        <v>Tunt</v>
      </c>
      <c r="E382" s="57" t="str">
        <f>IFERROR(__xludf.DUMMYFUNCTION("""COMPUTED_VALUE"""),"5300380647")</f>
        <v>5300380647</v>
      </c>
      <c r="F382" s="46" t="str">
        <f>IFERROR(__xludf.DUMMYFUNCTION("""COMPUTED_VALUE"""),"112 Cầu Diễn, Phúc Diễn, Bắc Từ Liêm, Hà Nội")</f>
        <v>112 Cầu Diễn, Phúc Diễn, Bắc Từ Liêm, Hà Nội</v>
      </c>
      <c r="G382" s="46" t="str">
        <f>IFERROR(__xludf.DUMMYFUNCTION("""COMPUTED_VALUE"""),"Lỗi máy in")</f>
        <v>Lỗi máy in</v>
      </c>
      <c r="H382" s="46"/>
      <c r="I382" s="46"/>
      <c r="J382" s="46" t="str">
        <f>IFERROR(__xludf.DUMMYFUNCTION("""COMPUTED_VALUE"""),"Gỡ giấy kẹt, thay nhựa pre đầu ra")</f>
        <v>Gỡ giấy kẹt, thay nhựa pre đầu ra</v>
      </c>
      <c r="K382" s="46"/>
      <c r="L382" s="46"/>
      <c r="M382" s="46"/>
      <c r="N382" s="46"/>
      <c r="O382" s="46"/>
      <c r="P382" s="46"/>
      <c r="Q382" s="46" t="str">
        <f>IFERROR(__xludf.DUMMYFUNCTION("""COMPUTED_VALUE"""),"Hoàn thành")</f>
        <v>Hoàn thành</v>
      </c>
      <c r="R382" s="46"/>
      <c r="S382" s="46"/>
      <c r="T382" s="46"/>
      <c r="U382" s="46"/>
      <c r="V382" s="46"/>
      <c r="W382" s="46"/>
      <c r="X382" s="46"/>
      <c r="Y382" s="46"/>
      <c r="Z382" s="46"/>
      <c r="AA382" s="46"/>
    </row>
    <row r="383">
      <c r="A383" s="55">
        <f>IFERROR(__xludf.DUMMYFUNCTION("""COMPUTED_VALUE"""),44321.346375567126)</f>
        <v>44321.34638</v>
      </c>
      <c r="B383" s="56">
        <f>IFERROR(__xludf.DUMMYFUNCTION("""COMPUTED_VALUE"""),44315.0)</f>
        <v>44315</v>
      </c>
      <c r="C383" s="59" t="str">
        <f t="shared" si="3"/>
        <v>Báo cáo muộn</v>
      </c>
      <c r="D383" s="46" t="str">
        <f>IFERROR(__xludf.DUMMYFUNCTION("""COMPUTED_VALUE"""),"tienvm")</f>
        <v>tienvm</v>
      </c>
      <c r="E383" s="57" t="str">
        <f>IFERROR(__xludf.DUMMYFUNCTION("""COMPUTED_VALUE"""),"56HGL03517")</f>
        <v>56HGL03517</v>
      </c>
      <c r="F383" s="46" t="str">
        <f>IFERROR(__xludf.DUMMYFUNCTION("""COMPUTED_VALUE"""),"KCN Đồng Văn I, Duy Tiên, Hà Nam")</f>
        <v>KCN Đồng Văn I, Duy Tiên, Hà Nam</v>
      </c>
      <c r="G383" s="46" t="str">
        <f>IFERROR(__xludf.DUMMYFUNCTION("""COMPUTED_VALUE"""),"Lỗi BPTT liên tục")</f>
        <v>Lỗi BPTT liên tục</v>
      </c>
      <c r="H383" s="46"/>
      <c r="I383" s="46"/>
      <c r="J383" s="46" t="str">
        <f>IFERROR(__xludf.DUMMYFUNCTION("""COMPUTED_VALUE"""),"Đến nơi 13h45, máy vẫn đang rút bình thường. KH báo chưa tìm thấy chìa khóa nên chưa xuống đc. Sau 1 tiếng, máy vẫn giao dịch đc bình thường trong khi NH chưa đến, nên di chuyển sang Hưng Hà Thái Bình.")</f>
        <v>Đến nơi 13h45, máy vẫn đang rút bình thường. KH báo chưa tìm thấy chìa khóa nên chưa xuống đc. Sau 1 tiếng, máy vẫn giao dịch đc bình thường trong khi NH chưa đến, nên di chuyển sang Hưng Hà Thái Bình.</v>
      </c>
      <c r="K383" s="46"/>
      <c r="L383" s="46"/>
      <c r="M383" s="46"/>
      <c r="N383" s="46"/>
      <c r="O383" s="46"/>
      <c r="P383" s="46" t="str">
        <f>IFERROR(__xludf.DUMMYFUNCTION("""COMPUTED_VALUE"""),"Chỉ theo dõi, chưa xử lý được do không có chìa khóa mở cửa")</f>
        <v>Chỉ theo dõi, chưa xử lý được do không có chìa khóa mở cửa</v>
      </c>
      <c r="Q383" s="46" t="str">
        <f>IFERROR(__xludf.DUMMYFUNCTION("""COMPUTED_VALUE"""),"Không hoàn thành")</f>
        <v>Không hoàn thành</v>
      </c>
      <c r="R383" s="46" t="str">
        <f>IFERROR(__xludf.DUMMYFUNCTION("""COMPUTED_VALUE"""),"Chỉ theo dõi, chưa xử lý được do không có chìa khóa mở cửa")</f>
        <v>Chỉ theo dõi, chưa xử lý được do không có chìa khóa mở cửa</v>
      </c>
      <c r="S383" s="46"/>
      <c r="T383" s="46"/>
      <c r="U383" s="46"/>
      <c r="V383" s="46"/>
      <c r="W383" s="46"/>
      <c r="X383" s="46"/>
      <c r="Y383" s="46"/>
      <c r="Z383" s="46"/>
      <c r="AA383" s="46"/>
    </row>
    <row r="384">
      <c r="A384" s="55">
        <f>IFERROR(__xludf.DUMMYFUNCTION("""COMPUTED_VALUE"""),44321.34952552083)</f>
        <v>44321.34953</v>
      </c>
      <c r="B384" s="56">
        <f>IFERROR(__xludf.DUMMYFUNCTION("""COMPUTED_VALUE"""),44315.0)</f>
        <v>44315</v>
      </c>
      <c r="C384" s="59" t="str">
        <f t="shared" si="3"/>
        <v>Báo cáo muộn</v>
      </c>
      <c r="D384" s="46" t="str">
        <f>IFERROR(__xludf.DUMMYFUNCTION("""COMPUTED_VALUE"""),"tienvm")</f>
        <v>tienvm</v>
      </c>
      <c r="E384" s="57" t="str">
        <f>IFERROR(__xludf.DUMMYFUNCTION("""COMPUTED_VALUE"""),"5300380536")</f>
        <v>5300380536</v>
      </c>
      <c r="F384" s="46" t="str">
        <f>IFERROR(__xludf.DUMMYFUNCTION("""COMPUTED_VALUE"""),"PGD Khu Đông, xã Hùng Dũng, Hưng Hà, Thái Bình")</f>
        <v>PGD Khu Đông, xã Hùng Dũng, Hưng Hà, Thái Bình</v>
      </c>
      <c r="G384" s="46" t="str">
        <f>IFERROR(__xludf.DUMMYFUNCTION("""COMPUTED_VALUE"""),"Lỗi 24")</f>
        <v>Lỗi 24</v>
      </c>
      <c r="H384" s="46"/>
      <c r="I384" s="46"/>
      <c r="J384" s="46" t="str">
        <f>IFERROR(__xludf.DUMMYFUNCTION("""COMPUTED_VALUE"""),"Kiểm tra, thay thế sensor 24, vệ sinh ""viên đạn"" trong nam châm 24.")</f>
        <v>Kiểm tra, thay thế sensor 24, vệ sinh "viên đạn" trong nam châm 24.</v>
      </c>
      <c r="K384" s="46"/>
      <c r="L384" s="46"/>
      <c r="M384" s="46"/>
      <c r="N384" s="46"/>
      <c r="O384" s="46"/>
      <c r="P384" s="46" t="str">
        <f>IFERROR(__xludf.DUMMYFUNCTION("""COMPUTED_VALUE"""),"15h30 tới nơi. Nhưng đợi đến 17h15 KH mới có mặt để làm. Sau khi xử lý, theo dõi một số giao dịch thành công thì về.")</f>
        <v>15h30 tới nơi. Nhưng đợi đến 17h15 KH mới có mặt để làm. Sau khi xử lý, theo dõi một số giao dịch thành công thì về.</v>
      </c>
      <c r="Q384" s="46" t="str">
        <f>IFERROR(__xludf.DUMMYFUNCTION("""COMPUTED_VALUE"""),"Hoàn thành")</f>
        <v>Hoàn thành</v>
      </c>
      <c r="R384" s="46"/>
      <c r="S384" s="46"/>
      <c r="T384" s="46"/>
      <c r="U384" s="46"/>
      <c r="V384" s="46"/>
      <c r="W384" s="46"/>
      <c r="X384" s="46"/>
      <c r="Y384" s="46"/>
      <c r="Z384" s="46"/>
      <c r="AA384" s="46"/>
    </row>
    <row r="385">
      <c r="A385" s="55">
        <f>IFERROR(__xludf.DUMMYFUNCTION("""COMPUTED_VALUE"""),44321.37198894676)</f>
        <v>44321.37199</v>
      </c>
      <c r="B385" s="56">
        <f>IFERROR(__xludf.DUMMYFUNCTION("""COMPUTED_VALUE"""),44314.0)</f>
        <v>44314</v>
      </c>
      <c r="C385" s="59" t="str">
        <f t="shared" si="3"/>
        <v>Báo cáo muộn</v>
      </c>
      <c r="D385" s="46" t="str">
        <f>IFERROR(__xludf.DUMMYFUNCTION("""COMPUTED_VALUE"""),"phuongtv")</f>
        <v>phuongtv</v>
      </c>
      <c r="E385" s="57" t="str">
        <f>IFERROR(__xludf.DUMMYFUNCTION("""COMPUTED_VALUE"""),"5310107064")</f>
        <v>5310107064</v>
      </c>
      <c r="F385" s="46" t="str">
        <f>IFERROR(__xludf.DUMMYFUNCTION("""COMPUTED_VALUE"""),"Số 28 đường Minh Khai, phường Đông Ngàn, thị xã Từ Sơn, Bắc Ninh")</f>
        <v>Số 28 đường Minh Khai, phường Đông Ngàn, thị xã Từ Sơn, Bắc Ninh</v>
      </c>
      <c r="G385" s="46" t="str">
        <f>IFERROR(__xludf.DUMMYFUNCTION("""COMPUTED_VALUE"""),"Rác nhiều")</f>
        <v>Rác nhiều</v>
      </c>
      <c r="H385" s="46"/>
      <c r="I385" s="46"/>
      <c r="J385" s="46" t="str">
        <f>IFERROR(__xludf.DUMMYFUNCTION("""COMPUTED_VALUE"""),"Thay trục GAP cũ")</f>
        <v>Thay trục GAP cũ</v>
      </c>
      <c r="K385" s="46" t="str">
        <f>IFERROR(__xludf.DUMMYFUNCTION("""COMPUTED_VALUE"""),"02 trục GAP Ex12")</f>
        <v>02 trục GAP Ex12</v>
      </c>
      <c r="L385" s="46"/>
      <c r="M385" s="46"/>
      <c r="N385" s="46"/>
      <c r="O385" s="46"/>
      <c r="P385" s="46" t="str">
        <f>IFERROR(__xludf.DUMMYFUNCTION("""COMPUTED_VALUE"""),"EX tầng 1 kém")</f>
        <v>EX tầng 1 kém</v>
      </c>
      <c r="Q385" s="46" t="str">
        <f>IFERROR(__xludf.DUMMYFUNCTION("""COMPUTED_VALUE"""),"Hoàn thành")</f>
        <v>Hoàn thành</v>
      </c>
      <c r="R385" s="46"/>
      <c r="S385" s="46"/>
      <c r="T385" s="46"/>
      <c r="U385" s="46"/>
      <c r="V385" s="46"/>
      <c r="W385" s="46"/>
      <c r="X385" s="46"/>
      <c r="Y385" s="46"/>
      <c r="Z385" s="46"/>
      <c r="AA385" s="46"/>
    </row>
    <row r="386">
      <c r="A386" s="55">
        <f>IFERROR(__xludf.DUMMYFUNCTION("""COMPUTED_VALUE"""),44321.37272143518)</f>
        <v>44321.37272</v>
      </c>
      <c r="B386" s="56">
        <f>IFERROR(__xludf.DUMMYFUNCTION("""COMPUTED_VALUE"""),44314.0)</f>
        <v>44314</v>
      </c>
      <c r="C386" s="59" t="str">
        <f t="shared" si="3"/>
        <v>Báo cáo muộn</v>
      </c>
      <c r="D386" s="46" t="str">
        <f>IFERROR(__xludf.DUMMYFUNCTION("""COMPUTED_VALUE"""),"phuongtv")</f>
        <v>phuongtv</v>
      </c>
      <c r="E386" s="57" t="str">
        <f>IFERROR(__xludf.DUMMYFUNCTION("""COMPUTED_VALUE"""),"5310107343")</f>
        <v>5310107343</v>
      </c>
      <c r="F386" s="46" t="str">
        <f>IFERROR(__xludf.DUMMYFUNCTION("""COMPUTED_VALUE"""),"Đường Trung Tâm, TT. Gia Bình, huyện Gia Bình, Bắc Ninh")</f>
        <v>Đường Trung Tâm, TT. Gia Bình, huyện Gia Bình, Bắc Ninh</v>
      </c>
      <c r="G386" s="46" t="str">
        <f>IFERROR(__xludf.DUMMYFUNCTION("""COMPUTED_VALUE"""),"Hay kẹt tiền")</f>
        <v>Hay kẹt tiền</v>
      </c>
      <c r="H386" s="46"/>
      <c r="I386" s="46"/>
      <c r="J386" s="46" t="str">
        <f>IFERROR(__xludf.DUMMYFUNCTION("""COMPUTED_VALUE"""),"Thay 01 trục cuốn Ex1")</f>
        <v>Thay 01 trục cuốn Ex1</v>
      </c>
      <c r="K386" s="46" t="str">
        <f>IFERROR(__xludf.DUMMYFUNCTION("""COMPUTED_VALUE"""),"01 trục cuốn Ex1")</f>
        <v>01 trục cuốn Ex1</v>
      </c>
      <c r="L386" s="46"/>
      <c r="M386" s="46"/>
      <c r="N386" s="46"/>
      <c r="O386" s="46"/>
      <c r="P386" s="46"/>
      <c r="Q386" s="46" t="str">
        <f>IFERROR(__xludf.DUMMYFUNCTION("""COMPUTED_VALUE"""),"Hoàn thành")</f>
        <v>Hoàn thành</v>
      </c>
      <c r="R386" s="46"/>
      <c r="S386" s="46"/>
      <c r="T386" s="46"/>
      <c r="U386" s="46"/>
      <c r="V386" s="46"/>
      <c r="W386" s="46"/>
      <c r="X386" s="46"/>
      <c r="Y386" s="46"/>
      <c r="Z386" s="46"/>
      <c r="AA386" s="46"/>
    </row>
    <row r="387">
      <c r="A387" s="55">
        <f>IFERROR(__xludf.DUMMYFUNCTION("""COMPUTED_VALUE"""),44321.37334202546)</f>
        <v>44321.37334</v>
      </c>
      <c r="B387" s="56">
        <f>IFERROR(__xludf.DUMMYFUNCTION("""COMPUTED_VALUE"""),44314.0)</f>
        <v>44314</v>
      </c>
      <c r="C387" s="59" t="str">
        <f t="shared" si="3"/>
        <v>Báo cáo muộn</v>
      </c>
      <c r="D387" s="46" t="str">
        <f>IFERROR(__xludf.DUMMYFUNCTION("""COMPUTED_VALUE"""),"phuongtv")</f>
        <v>phuongtv</v>
      </c>
      <c r="E387" s="57" t="str">
        <f>IFERROR(__xludf.DUMMYFUNCTION("""COMPUTED_VALUE"""),"56HG707960")</f>
        <v>56HG707960</v>
      </c>
      <c r="F387" s="46" t="str">
        <f>IFERROR(__xludf.DUMMYFUNCTION("""COMPUTED_VALUE"""),"KCN Yên Phong, xã Long Châu, Huyện Yên Phong, Tỉnh Bắc Ninh")</f>
        <v>KCN Yên Phong, xã Long Châu, Huyện Yên Phong, Tỉnh Bắc Ninh</v>
      </c>
      <c r="G387" s="46" t="str">
        <f>IFERROR(__xludf.DUMMYFUNCTION("""COMPUTED_VALUE"""),"Rác nhiều")</f>
        <v>Rác nhiều</v>
      </c>
      <c r="H387" s="46"/>
      <c r="I387" s="46" t="str">
        <f>IFERROR(__xludf.DUMMYFUNCTION("""COMPUTED_VALUE"""),"Bảo trì")</f>
        <v>Bảo trì</v>
      </c>
      <c r="J387" s="46" t="str">
        <f>IFERROR(__xludf.DUMMYFUNCTION("""COMPUTED_VALUE"""),"Vệ sinh")</f>
        <v>Vệ sinh</v>
      </c>
      <c r="K387" s="46"/>
      <c r="L387" s="46"/>
      <c r="M387" s="46"/>
      <c r="N387" s="46"/>
      <c r="O387" s="46"/>
      <c r="P387" s="46"/>
      <c r="Q387" s="46" t="str">
        <f>IFERROR(__xludf.DUMMYFUNCTION("""COMPUTED_VALUE"""),"Hoàn thành")</f>
        <v>Hoàn thành</v>
      </c>
      <c r="R387" s="46"/>
      <c r="S387" s="46"/>
      <c r="T387" s="46"/>
      <c r="U387" s="46"/>
      <c r="V387" s="46"/>
      <c r="W387" s="46"/>
      <c r="X387" s="46"/>
      <c r="Y387" s="46"/>
      <c r="Z387" s="46"/>
      <c r="AA387" s="46"/>
    </row>
    <row r="388">
      <c r="A388" s="55">
        <f>IFERROR(__xludf.DUMMYFUNCTION("""COMPUTED_VALUE"""),44321.37410508102)</f>
        <v>44321.37411</v>
      </c>
      <c r="B388" s="56">
        <f>IFERROR(__xludf.DUMMYFUNCTION("""COMPUTED_VALUE"""),44320.0)</f>
        <v>44320</v>
      </c>
      <c r="C388" s="59" t="str">
        <f t="shared" si="3"/>
        <v/>
      </c>
      <c r="D388" s="46" t="str">
        <f>IFERROR(__xludf.DUMMYFUNCTION("""COMPUTED_VALUE"""),"phuongtv")</f>
        <v>phuongtv</v>
      </c>
      <c r="E388" s="57" t="str">
        <f>IFERROR(__xludf.DUMMYFUNCTION("""COMPUTED_VALUE"""),"56HG806308")</f>
        <v>56HG806308</v>
      </c>
      <c r="F388" s="46" t="str">
        <f>IFERROR(__xludf.DUMMYFUNCTION("""COMPUTED_VALUE"""),"Số 1 Lê Đức Thọ, Mai Dịch, Cầu Giấy, Hà Nội")</f>
        <v>Số 1 Lê Đức Thọ, Mai Dịch, Cầu Giấy, Hà Nội</v>
      </c>
      <c r="G388" s="46" t="str">
        <f>IFERROR(__xludf.DUMMYFUNCTION("""COMPUTED_VALUE"""),"Lỗi phần mềm")</f>
        <v>Lỗi phần mềm</v>
      </c>
      <c r="H388" s="46"/>
      <c r="I388" s="46"/>
      <c r="J388" s="46" t="str">
        <f>IFERROR(__xludf.DUMMYFUNCTION("""COMPUTED_VALUE"""),"Mất bảng boot")</f>
        <v>Mất bảng boot</v>
      </c>
      <c r="K388" s="46"/>
      <c r="L388" s="46"/>
      <c r="M388" s="46"/>
      <c r="N388" s="46"/>
      <c r="O388" s="46"/>
      <c r="P388" s="46" t="str">
        <f>IFERROR(__xludf.DUMMYFUNCTION("""COMPUTED_VALUE"""),"Bánh cao su máy in hỏng")</f>
        <v>Bánh cao su máy in hỏng</v>
      </c>
      <c r="Q388" s="46" t="str">
        <f>IFERROR(__xludf.DUMMYFUNCTION("""COMPUTED_VALUE"""),"Hoàn thành")</f>
        <v>Hoàn thành</v>
      </c>
      <c r="R388" s="46"/>
      <c r="S388" s="46"/>
      <c r="T388" s="46"/>
      <c r="U388" s="46"/>
      <c r="V388" s="46"/>
      <c r="W388" s="46"/>
      <c r="X388" s="46"/>
      <c r="Y388" s="46"/>
      <c r="Z388" s="46"/>
      <c r="AA388" s="46"/>
    </row>
    <row r="389">
      <c r="A389" s="55">
        <f>IFERROR(__xludf.DUMMYFUNCTION("""COMPUTED_VALUE"""),44321.38991866898)</f>
        <v>44321.38992</v>
      </c>
      <c r="B389" s="56">
        <f>IFERROR(__xludf.DUMMYFUNCTION("""COMPUTED_VALUE"""),44321.0)</f>
        <v>44321</v>
      </c>
      <c r="C389" s="59" t="str">
        <f t="shared" si="3"/>
        <v/>
      </c>
      <c r="D389" s="46" t="str">
        <f>IFERROR(__xludf.DUMMYFUNCTION("""COMPUTED_VALUE"""),"Bannt")</f>
        <v>Bannt</v>
      </c>
      <c r="E389" s="57" t="str">
        <f>IFERROR(__xludf.DUMMYFUNCTION("""COMPUTED_VALUE"""),"56hgl03517")</f>
        <v>56hgl03517</v>
      </c>
      <c r="F389" s="46" t="str">
        <f>IFERROR(__xludf.DUMMYFUNCTION("""COMPUTED_VALUE"""),"KCN Đồng Văn I, Duy Tiên, Hà Nam")</f>
        <v>KCN Đồng Văn I, Duy Tiên, Hà Nam</v>
      </c>
      <c r="G389" s="46" t="str">
        <f>IFERROR(__xludf.DUMMYFUNCTION("""COMPUTED_VALUE"""),"Lỗi BPTT")</f>
        <v>Lỗi BPTT</v>
      </c>
      <c r="H389" s="46"/>
      <c r="I389" s="46"/>
      <c r="J389" s="46" t="str">
        <f>IFERROR(__xludf.DUMMYFUNCTION("""COMPUTED_VALUE"""),"Thay thế DDU")</f>
        <v>Thay thế DDU</v>
      </c>
      <c r="K389" s="46" t="str">
        <f>IFERROR(__xludf.DUMMYFUNCTION("""COMPUTED_VALUE"""),"01 Ddu")</f>
        <v>01 Ddu</v>
      </c>
      <c r="L389" s="46"/>
      <c r="M389" s="46"/>
      <c r="N389" s="46"/>
      <c r="O389" s="46"/>
      <c r="P389" s="46"/>
      <c r="Q389" s="46" t="str">
        <f>IFERROR(__xludf.DUMMYFUNCTION("""COMPUTED_VALUE"""),"Hoàn thành")</f>
        <v>Hoàn thành</v>
      </c>
      <c r="R389" s="46"/>
      <c r="S389" s="46"/>
      <c r="T389" s="46"/>
      <c r="U389" s="46"/>
      <c r="V389" s="46"/>
      <c r="W389" s="46"/>
      <c r="X389" s="46"/>
      <c r="Y389" s="46"/>
      <c r="Z389" s="46"/>
      <c r="AA389" s="46"/>
    </row>
    <row r="390">
      <c r="A390" s="55">
        <f>IFERROR(__xludf.DUMMYFUNCTION("""COMPUTED_VALUE"""),44321.57444931713)</f>
        <v>44321.57445</v>
      </c>
      <c r="B390" s="56">
        <f>IFERROR(__xludf.DUMMYFUNCTION("""COMPUTED_VALUE"""),44321.0)</f>
        <v>44321</v>
      </c>
      <c r="C390" s="59" t="str">
        <f t="shared" si="3"/>
        <v/>
      </c>
      <c r="D390" s="46" t="str">
        <f>IFERROR(__xludf.DUMMYFUNCTION("""COMPUTED_VALUE"""),"Thuongd")</f>
        <v>Thuongd</v>
      </c>
      <c r="E390" s="57" t="str">
        <f>IFERROR(__xludf.DUMMYFUNCTION("""COMPUTED_VALUE"""),"5300381788")</f>
        <v>5300381788</v>
      </c>
      <c r="F390" s="46" t="str">
        <f>IFERROR(__xludf.DUMMYFUNCTION("""COMPUTED_VALUE"""),"146 phố Môi, thị trấn Môi, Thanh Hóa")</f>
        <v>146 phố Môi, thị trấn Môi, Thanh Hóa</v>
      </c>
      <c r="G390" s="46" t="str">
        <f>IFERROR(__xludf.DUMMYFUNCTION("""COMPUTED_VALUE"""),"Đứt dây coroa Ex")</f>
        <v>Đứt dây coroa Ex</v>
      </c>
      <c r="H390" s="46"/>
      <c r="I390" s="46"/>
      <c r="J390" s="46" t="str">
        <f>IFERROR(__xludf.DUMMYFUNCTION("""COMPUTED_VALUE"""),"Thay dây coroa ex")</f>
        <v>Thay dây coroa ex</v>
      </c>
      <c r="K390" s="46"/>
      <c r="L390" s="46"/>
      <c r="M390" s="46"/>
      <c r="N390" s="46"/>
      <c r="O390" s="46"/>
      <c r="P390" s="46"/>
      <c r="Q390" s="46" t="str">
        <f>IFERROR(__xludf.DUMMYFUNCTION("""COMPUTED_VALUE"""),"Hoàn thành")</f>
        <v>Hoàn thành</v>
      </c>
      <c r="R390" s="46"/>
      <c r="S390" s="46"/>
      <c r="T390" s="46"/>
      <c r="U390" s="46"/>
      <c r="V390" s="46"/>
      <c r="W390" s="46"/>
      <c r="X390" s="46"/>
      <c r="Y390" s="46"/>
      <c r="Z390" s="46"/>
      <c r="AA390" s="46"/>
    </row>
    <row r="391">
      <c r="A391" s="55">
        <f>IFERROR(__xludf.DUMMYFUNCTION("""COMPUTED_VALUE"""),44321.95485883101)</f>
        <v>44321.95486</v>
      </c>
      <c r="B391" s="56">
        <f>IFERROR(__xludf.DUMMYFUNCTION("""COMPUTED_VALUE"""),44321.0)</f>
        <v>44321</v>
      </c>
      <c r="C391" s="59" t="str">
        <f t="shared" si="3"/>
        <v/>
      </c>
      <c r="D391" s="46" t="str">
        <f>IFERROR(__xludf.DUMMYFUNCTION("""COMPUTED_VALUE"""),"thangnx")</f>
        <v>thangnx</v>
      </c>
      <c r="E391" s="57" t="str">
        <f>IFERROR(__xludf.DUMMYFUNCTION("""COMPUTED_VALUE"""),"5300381623")</f>
        <v>5300381623</v>
      </c>
      <c r="F391" s="46" t="str">
        <f>IFERROR(__xludf.DUMMYFUNCTION("""COMPUTED_VALUE"""),"NHNo Yên Khánh, H.Yên Khánh, Ninh Bình")</f>
        <v>NHNo Yên Khánh, H.Yên Khánh, Ninh Bình</v>
      </c>
      <c r="G391" s="46" t="str">
        <f>IFERROR(__xludf.DUMMYFUNCTION("""COMPUTED_VALUE"""),"Lỗi BPTT")</f>
        <v>Lỗi BPTT</v>
      </c>
      <c r="H391" s="46"/>
      <c r="I391" s="46"/>
      <c r="J391" s="46" t="str">
        <f>IFERROR(__xludf.DUMMYFUNCTION("""COMPUTED_VALUE"""),"Set jump B, tạm thời sử dụng extractor 1 với khay 200 và 500")</f>
        <v>Set jump B, tạm thời sử dụng extractor 1 với khay 200 và 500</v>
      </c>
      <c r="K391" s="46"/>
      <c r="L391" s="46"/>
      <c r="M391" s="46"/>
      <c r="N391" s="46"/>
      <c r="O391" s="46"/>
      <c r="P391" s="46" t="str">
        <f>IFERROR(__xludf.DUMMYFUNCTION("""COMPUTED_VALUE"""),"Kiểm tra phần cứng không thấy vấn đề gì, miếng nhựa đen tầng 500 hơi vênh đã thay. Khi học tiền các tầng đều tốt, đến tầng 500 thì cứ 2 lần học lại 1 lần bị lỗi . Đã đảo hết đồ trên tầng 50 xuống tầng 500 nhưng vẫn bị. Đổi khay 500 lên tầng khác thì không"&amp;" lỗi. Đảo ex2 lên test thử vẫn lỗi vị trí 500. Nghi ngờ do cảm biến tầng 500 nên hiện tại đã set jump B để cách ly theo dõi lỗi.")</f>
        <v>Kiểm tra phần cứng không thấy vấn đề gì, miếng nhựa đen tầng 500 hơi vênh đã thay. Khi học tiền các tầng đều tốt, đến tầng 500 thì cứ 2 lần học lại 1 lần bị lỗi . Đã đảo hết đồ trên tầng 50 xuống tầng 500 nhưng vẫn bị. Đổi khay 500 lên tầng khác thì không lỗi. Đảo ex2 lên test thử vẫn lỗi vị trí 500. Nghi ngờ do cảm biến tầng 500 nên hiện tại đã set jump B để cách ly theo dõi lỗi.</v>
      </c>
      <c r="Q391" s="46" t="str">
        <f>IFERROR(__xludf.DUMMYFUNCTION("""COMPUTED_VALUE"""),"Không hoàn thành")</f>
        <v>Không hoàn thành</v>
      </c>
      <c r="R391" s="46" t="str">
        <f>IFERROR(__xludf.DUMMYFUNCTION("""COMPUTED_VALUE"""),"Không có extractor để thay thế")</f>
        <v>Không có extractor để thay thế</v>
      </c>
      <c r="S391" s="46"/>
      <c r="T391" s="46"/>
      <c r="U391" s="46"/>
      <c r="V391" s="46"/>
      <c r="W391" s="46"/>
      <c r="X391" s="46"/>
      <c r="Y391" s="46"/>
      <c r="Z391" s="46"/>
      <c r="AA391" s="46"/>
    </row>
    <row r="392">
      <c r="A392" s="55">
        <f>IFERROR(__xludf.DUMMYFUNCTION("""COMPUTED_VALUE"""),44321.95615128472)</f>
        <v>44321.95615</v>
      </c>
      <c r="B392" s="56">
        <f>IFERROR(__xludf.DUMMYFUNCTION("""COMPUTED_VALUE"""),44321.0)</f>
        <v>44321</v>
      </c>
      <c r="C392" s="59" t="str">
        <f t="shared" si="3"/>
        <v/>
      </c>
      <c r="D392" s="46" t="str">
        <f>IFERROR(__xludf.DUMMYFUNCTION("""COMPUTED_VALUE"""),"thangnx")</f>
        <v>thangnx</v>
      </c>
      <c r="E392" s="57" t="str">
        <f>IFERROR(__xludf.DUMMYFUNCTION("""COMPUTED_VALUE"""),"5310107167")</f>
        <v>5310107167</v>
      </c>
      <c r="F392" s="46" t="str">
        <f>IFERROR(__xludf.DUMMYFUNCTION("""COMPUTED_VALUE"""),"Phố 1B thị trấn Yên Ninh, huyện Yên Khánh, Ninh Bình")</f>
        <v>Phố 1B thị trấn Yên Ninh, huyện Yên Khánh, Ninh Bình</v>
      </c>
      <c r="G392" s="46" t="str">
        <f>IFERROR(__xludf.DUMMYFUNCTION("""COMPUTED_VALUE"""),"Lỗi BPTT, tiền loại nhiều")</f>
        <v>Lỗi BPTT, tiền loại nhiều</v>
      </c>
      <c r="H392" s="46"/>
      <c r="I392" s="46"/>
      <c r="J392" s="46"/>
      <c r="K392" s="46" t="str">
        <f>IFERROR(__xludf.DUMMYFUNCTION("""COMPUTED_VALUE"""),"01 miếng nam châm DDU")</f>
        <v>01 miếng nam châm DDU</v>
      </c>
      <c r="L392" s="46"/>
      <c r="M392" s="46"/>
      <c r="N392" s="46"/>
      <c r="O392" s="46"/>
      <c r="P392" s="46" t="str">
        <f>IFERROR(__xludf.DUMMYFUNCTION("""COMPUTED_VALUE"""),"Miếng nam châm DDU bị kẹt, không đàn hồi")</f>
        <v>Miếng nam châm DDU bị kẹt, không đàn hồi</v>
      </c>
      <c r="Q392" s="46" t="str">
        <f>IFERROR(__xludf.DUMMYFUNCTION("""COMPUTED_VALUE"""),"Hoàn thành")</f>
        <v>Hoàn thành</v>
      </c>
      <c r="R392" s="46"/>
      <c r="S392" s="46"/>
      <c r="T392" s="46"/>
      <c r="U392" s="46"/>
      <c r="V392" s="46"/>
      <c r="W392" s="46"/>
      <c r="X392" s="46"/>
      <c r="Y392" s="46"/>
      <c r="Z392" s="46"/>
      <c r="AA392" s="46"/>
    </row>
    <row r="393">
      <c r="A393" s="55">
        <f>IFERROR(__xludf.DUMMYFUNCTION("""COMPUTED_VALUE"""),44322.364993599535)</f>
        <v>44322.36499</v>
      </c>
      <c r="B393" s="56">
        <f>IFERROR(__xludf.DUMMYFUNCTION("""COMPUTED_VALUE"""),44322.0)</f>
        <v>44322</v>
      </c>
      <c r="C393" s="59" t="str">
        <f t="shared" si="3"/>
        <v/>
      </c>
      <c r="D393" s="46" t="str">
        <f>IFERROR(__xludf.DUMMYFUNCTION("""COMPUTED_VALUE"""),"Tuanva")</f>
        <v>Tuanva</v>
      </c>
      <c r="E393" s="57" t="str">
        <f>IFERROR(__xludf.DUMMYFUNCTION("""COMPUTED_VALUE"""),"5310181366")</f>
        <v>5310181366</v>
      </c>
      <c r="F393" s="46" t="str">
        <f>IFERROR(__xludf.DUMMYFUNCTION("""COMPUTED_VALUE"""),"Số 138, Hoàng Văn Thụ, TPTN")</f>
        <v>Số 138, Hoàng Văn Thụ, TPTN</v>
      </c>
      <c r="G393" s="46" t="str">
        <f>IFERROR(__xludf.DUMMYFUNCTION("""COMPUTED_VALUE"""),"Bảo trì")</f>
        <v>Bảo trì</v>
      </c>
      <c r="H393" s="46"/>
      <c r="I393" s="46" t="str">
        <f>IFERROR(__xludf.DUMMYFUNCTION("""COMPUTED_VALUE"""),"Bảo trì")</f>
        <v>Bảo trì</v>
      </c>
      <c r="J393" s="46" t="str">
        <f>IFERROR(__xludf.DUMMYFUNCTION("""COMPUTED_VALUE"""),"Bảo dưỡng định kỳ")</f>
        <v>Bảo dưỡng định kỳ</v>
      </c>
      <c r="K393" s="46"/>
      <c r="L393" s="46"/>
      <c r="M393" s="46"/>
      <c r="N393" s="46"/>
      <c r="O393" s="46"/>
      <c r="P393" s="46"/>
      <c r="Q393" s="46" t="str">
        <f>IFERROR(__xludf.DUMMYFUNCTION("""COMPUTED_VALUE"""),"Hoàn thành")</f>
        <v>Hoàn thành</v>
      </c>
      <c r="R393" s="46"/>
      <c r="S393" s="46"/>
      <c r="T393" s="46"/>
      <c r="U393" s="46"/>
      <c r="V393" s="46"/>
      <c r="W393" s="46"/>
      <c r="X393" s="46"/>
      <c r="Y393" s="46"/>
      <c r="Z393" s="46"/>
      <c r="AA393" s="46"/>
    </row>
    <row r="394">
      <c r="A394" s="55">
        <f>IFERROR(__xludf.DUMMYFUNCTION("""COMPUTED_VALUE"""),44322.40119991898)</f>
        <v>44322.4012</v>
      </c>
      <c r="B394" s="56">
        <f>IFERROR(__xludf.DUMMYFUNCTION("""COMPUTED_VALUE"""),44322.0)</f>
        <v>44322</v>
      </c>
      <c r="C394" s="59" t="str">
        <f t="shared" si="3"/>
        <v/>
      </c>
      <c r="D394" s="46" t="str">
        <f>IFERROR(__xludf.DUMMYFUNCTION("""COMPUTED_VALUE"""),"Tuanva")</f>
        <v>Tuanva</v>
      </c>
      <c r="E394" s="57" t="str">
        <f>IFERROR(__xludf.DUMMYFUNCTION("""COMPUTED_VALUE"""),"5310107221")</f>
        <v>5310107221</v>
      </c>
      <c r="F394" s="46" t="str">
        <f>IFERROR(__xludf.DUMMYFUNCTION("""COMPUTED_VALUE"""),"Số 279 đường Thống Nhất, TP. Thái Nguyên")</f>
        <v>Số 279 đường Thống Nhất, TP. Thái Nguyên</v>
      </c>
      <c r="G394" s="46" t="str">
        <f>IFERROR(__xludf.DUMMYFUNCTION("""COMPUTED_VALUE"""),"Lỗi màn hình")</f>
        <v>Lỗi màn hình</v>
      </c>
      <c r="H394" s="46"/>
      <c r="I394" s="46"/>
      <c r="J394" s="46" t="str">
        <f>IFERROR(__xludf.DUMMYFUNCTION("""COMPUTED_VALUE"""),"Thay thế màn hình")</f>
        <v>Thay thế màn hình</v>
      </c>
      <c r="K394" s="46" t="str">
        <f>IFERROR(__xludf.DUMMYFUNCTION("""COMPUTED_VALUE"""),"01 màn hình")</f>
        <v>01 màn hình</v>
      </c>
      <c r="L394" s="46"/>
      <c r="M394" s="46"/>
      <c r="N394" s="46"/>
      <c r="O394" s="46"/>
      <c r="P394" s="46"/>
      <c r="Q394" s="46" t="str">
        <f>IFERROR(__xludf.DUMMYFUNCTION("""COMPUTED_VALUE"""),"Hoàn thành")</f>
        <v>Hoàn thành</v>
      </c>
      <c r="R394" s="46"/>
      <c r="S394" s="46"/>
      <c r="T394" s="46"/>
      <c r="U394" s="46"/>
      <c r="V394" s="46"/>
      <c r="W394" s="46"/>
      <c r="X394" s="46"/>
      <c r="Y394" s="46"/>
      <c r="Z394" s="46"/>
      <c r="AA394" s="46"/>
    </row>
    <row r="395">
      <c r="A395" s="55">
        <f>IFERROR(__xludf.DUMMYFUNCTION("""COMPUTED_VALUE"""),44322.66301614583)</f>
        <v>44322.66302</v>
      </c>
      <c r="B395" s="56">
        <f>IFERROR(__xludf.DUMMYFUNCTION("""COMPUTED_VALUE"""),44322.0)</f>
        <v>44322</v>
      </c>
      <c r="C395" s="59" t="str">
        <f t="shared" si="3"/>
        <v/>
      </c>
      <c r="D395" s="46" t="str">
        <f>IFERROR(__xludf.DUMMYFUNCTION("""COMPUTED_VALUE"""),"Duclb")</f>
        <v>Duclb</v>
      </c>
      <c r="E395" s="57" t="str">
        <f>IFERROR(__xludf.DUMMYFUNCTION("""COMPUTED_VALUE"""),"5300380609")</f>
        <v>5300380609</v>
      </c>
      <c r="F395" s="46" t="str">
        <f>IFERROR(__xludf.DUMMYFUNCTION("""COMPUTED_VALUE"""),"Số 2 Láng Hạ - Q.Ba Đình - Hà Nội")</f>
        <v>Số 2 Láng Hạ - Q.Ba Đình - Hà Nội</v>
      </c>
      <c r="G395" s="46" t="str">
        <f>IFERROR(__xludf.DUMMYFUNCTION("""COMPUTED_VALUE"""),"Tiền loại nhiều")</f>
        <v>Tiền loại nhiều</v>
      </c>
      <c r="H395" s="46"/>
      <c r="I395" s="46"/>
      <c r="J395" s="46" t="str">
        <f>IFERROR(__xludf.DUMMYFUNCTION("""COMPUTED_VALUE"""),"Gỡ miếng thép của nhựa đen bị bong")</f>
        <v>Gỡ miếng thép của nhựa đen bị bong</v>
      </c>
      <c r="K395" s="46"/>
      <c r="L395" s="46"/>
      <c r="M395" s="46"/>
      <c r="N395" s="46"/>
      <c r="O395" s="46"/>
      <c r="P395" s="46" t="str">
        <f>IFERROR(__xludf.DUMMYFUNCTION("""COMPUTED_VALUE"""),"Cần thay miếng nhựa đen")</f>
        <v>Cần thay miếng nhựa đen</v>
      </c>
      <c r="Q395" s="46" t="str">
        <f>IFERROR(__xludf.DUMMYFUNCTION("""COMPUTED_VALUE"""),"Hoàn thành")</f>
        <v>Hoàn thành</v>
      </c>
      <c r="R395" s="46"/>
      <c r="S395" s="46"/>
      <c r="T395" s="46"/>
      <c r="U395" s="46"/>
      <c r="V395" s="46"/>
      <c r="W395" s="46"/>
      <c r="X395" s="46"/>
      <c r="Y395" s="46"/>
      <c r="Z395" s="46"/>
      <c r="AA395" s="46"/>
    </row>
    <row r="396" ht="27.0" customHeight="1">
      <c r="A396" s="55">
        <f>IFERROR(__xludf.DUMMYFUNCTION("""COMPUTED_VALUE"""),44322.72076833333)</f>
        <v>44322.72077</v>
      </c>
      <c r="B396" s="56">
        <f>IFERROR(__xludf.DUMMYFUNCTION("""COMPUTED_VALUE"""),44322.0)</f>
        <v>44322</v>
      </c>
      <c r="C396" s="59" t="str">
        <f t="shared" si="3"/>
        <v/>
      </c>
      <c r="D396" s="46" t="str">
        <f>IFERROR(__xludf.DUMMYFUNCTION("""COMPUTED_VALUE"""),"Bannt")</f>
        <v>Bannt</v>
      </c>
      <c r="E396" s="57" t="str">
        <f>IFERROR(__xludf.DUMMYFUNCTION("""COMPUTED_VALUE"""),"5300380271")</f>
        <v>5300380271</v>
      </c>
      <c r="F396" s="46" t="str">
        <f>IFERROR(__xludf.DUMMYFUNCTION("""COMPUTED_VALUE"""),"Tiểu khu 2 - Thị trấn Thắng - H. Hiệp Hòa - Bắc Giang")</f>
        <v>Tiểu khu 2 - Thị trấn Thắng - H. Hiệp Hòa - Bắc Giang</v>
      </c>
      <c r="G396" s="46" t="str">
        <f>IFERROR(__xludf.DUMMYFUNCTION("""COMPUTED_VALUE"""),"Lỗi khay 50")</f>
        <v>Lỗi khay 50</v>
      </c>
      <c r="H396" s="46"/>
      <c r="I396" s="46"/>
      <c r="J396" s="46" t="str">
        <f>IFERROR(__xludf.DUMMYFUNCTION("""COMPUTED_VALUE"""),"Căn chỉnh lại hộp tiền 50")</f>
        <v>Căn chỉnh lại hộp tiền 50</v>
      </c>
      <c r="K396" s="46"/>
      <c r="L396" s="46"/>
      <c r="M396" s="46"/>
      <c r="N396" s="46"/>
      <c r="O396" s="46"/>
      <c r="P396" s="46"/>
      <c r="Q396" s="46" t="str">
        <f>IFERROR(__xludf.DUMMYFUNCTION("""COMPUTED_VALUE"""),"Hoàn thành")</f>
        <v>Hoàn thành</v>
      </c>
      <c r="R396" s="46"/>
      <c r="S396" s="46"/>
      <c r="T396" s="46"/>
      <c r="U396" s="46"/>
      <c r="V396" s="46"/>
      <c r="W396" s="46"/>
      <c r="X396" s="46"/>
      <c r="Y396" s="46"/>
      <c r="Z396" s="46"/>
      <c r="AA396" s="46"/>
    </row>
    <row r="397">
      <c r="A397" s="55">
        <f>IFERROR(__xludf.DUMMYFUNCTION("""COMPUTED_VALUE"""),44322.893094189814)</f>
        <v>44322.89309</v>
      </c>
      <c r="B397" s="56">
        <f>IFERROR(__xludf.DUMMYFUNCTION("""COMPUTED_VALUE"""),44322.0)</f>
        <v>44322</v>
      </c>
      <c r="C397" s="59" t="str">
        <f t="shared" si="3"/>
        <v/>
      </c>
      <c r="D397" s="46" t="str">
        <f>IFERROR(__xludf.DUMMYFUNCTION("""COMPUTED_VALUE"""),"thangnx")</f>
        <v>thangnx</v>
      </c>
      <c r="E397" s="57" t="str">
        <f>IFERROR(__xludf.DUMMYFUNCTION("""COMPUTED_VALUE"""),"5300377156")</f>
        <v>5300377156</v>
      </c>
      <c r="F397" s="46" t="str">
        <f>IFERROR(__xludf.DUMMYFUNCTION("""COMPUTED_VALUE"""),"Thị trấn Xuân Trường- Xuân Trường - Nam Định")</f>
        <v>Thị trấn Xuân Trường- Xuân Trường - Nam Định</v>
      </c>
      <c r="G397" s="46" t="str">
        <f>IFERROR(__xludf.DUMMYFUNCTION("""COMPUTED_VALUE"""),"Lỗi khay 200")</f>
        <v>Lỗi khay 200</v>
      </c>
      <c r="H397" s="46"/>
      <c r="I397" s="46"/>
      <c r="J397" s="46" t="str">
        <f>IFERROR(__xludf.DUMMYFUNCTION("""COMPUTED_VALUE"""),"Chỉnh Gap")</f>
        <v>Chỉnh Gap</v>
      </c>
      <c r="K397" s="46"/>
      <c r="L397" s="46"/>
      <c r="M397" s="46"/>
      <c r="N397" s="46"/>
      <c r="O397" s="46"/>
      <c r="P397" s="46"/>
      <c r="Q397" s="46" t="str">
        <f>IFERROR(__xludf.DUMMYFUNCTION("""COMPUTED_VALUE"""),"Hoàn thành")</f>
        <v>Hoàn thành</v>
      </c>
      <c r="R397" s="46"/>
      <c r="S397" s="46"/>
      <c r="T397" s="46"/>
      <c r="U397" s="46"/>
      <c r="V397" s="46"/>
      <c r="W397" s="46"/>
      <c r="X397" s="46"/>
      <c r="Y397" s="46"/>
      <c r="Z397" s="46"/>
      <c r="AA397" s="46"/>
    </row>
    <row r="398">
      <c r="A398" s="55">
        <f>IFERROR(__xludf.DUMMYFUNCTION("""COMPUTED_VALUE"""),44323.461124953705)</f>
        <v>44323.46112</v>
      </c>
      <c r="B398" s="56">
        <f>IFERROR(__xludf.DUMMYFUNCTION("""COMPUTED_VALUE"""),44323.0)</f>
        <v>44323</v>
      </c>
      <c r="C398" s="59" t="str">
        <f t="shared" si="3"/>
        <v/>
      </c>
      <c r="D398" s="46" t="str">
        <f>IFERROR(__xludf.DUMMYFUNCTION("""COMPUTED_VALUE"""),"Bannt")</f>
        <v>Bannt</v>
      </c>
      <c r="E398" s="57" t="str">
        <f>IFERROR(__xludf.DUMMYFUNCTION("""COMPUTED_VALUE"""),"5310107361")</f>
        <v>5310107361</v>
      </c>
      <c r="F398" s="46" t="str">
        <f>IFERROR(__xludf.DUMMYFUNCTION("""COMPUTED_VALUE"""),"Số 751 đường Cù Chính Lan, phường Phương Lâm, TP. Hòa Bình")</f>
        <v>Số 751 đường Cù Chính Lan, phường Phương Lâm, TP. Hòa Bình</v>
      </c>
      <c r="G398" s="46" t="str">
        <f>IFERROR(__xludf.DUMMYFUNCTION("""COMPUTED_VALUE"""),"Máy hay kẹt tiền 200 trên presenter")</f>
        <v>Máy hay kẹt tiền 200 trên presenter</v>
      </c>
      <c r="H398" s="46"/>
      <c r="I398" s="46"/>
      <c r="J398" s="46" t="str">
        <f>IFERROR(__xludf.DUMMYFUNCTION("""COMPUTED_VALUE"""),"Vệ sinh, căn chỉnh lại bptt")</f>
        <v>Vệ sinh, căn chỉnh lại bptt</v>
      </c>
      <c r="K398" s="46"/>
      <c r="L398" s="46"/>
      <c r="M398" s="46"/>
      <c r="N398" s="46"/>
      <c r="O398" s="46"/>
      <c r="P398" s="46"/>
      <c r="Q398" s="46" t="str">
        <f>IFERROR(__xludf.DUMMYFUNCTION("""COMPUTED_VALUE"""),"Hoàn thành")</f>
        <v>Hoàn thành</v>
      </c>
      <c r="R398" s="46"/>
      <c r="S398" s="46"/>
      <c r="T398" s="46"/>
      <c r="U398" s="46"/>
      <c r="V398" s="46"/>
      <c r="W398" s="46"/>
      <c r="X398" s="46"/>
      <c r="Y398" s="46"/>
      <c r="Z398" s="46"/>
      <c r="AA398" s="46"/>
    </row>
    <row r="399">
      <c r="A399" s="55">
        <f>IFERROR(__xludf.DUMMYFUNCTION("""COMPUTED_VALUE"""),44323.47873466436)</f>
        <v>44323.47873</v>
      </c>
      <c r="B399" s="56">
        <f>IFERROR(__xludf.DUMMYFUNCTION("""COMPUTED_VALUE"""),44323.0)</f>
        <v>44323</v>
      </c>
      <c r="C399" s="59" t="str">
        <f t="shared" si="3"/>
        <v/>
      </c>
      <c r="D399" s="46" t="str">
        <f>IFERROR(__xludf.DUMMYFUNCTION("""COMPUTED_VALUE"""),"Thuongd")</f>
        <v>Thuongd</v>
      </c>
      <c r="E399" s="57" t="str">
        <f>IFERROR(__xludf.DUMMYFUNCTION("""COMPUTED_VALUE"""),"56HG805388")</f>
        <v>56HG805388</v>
      </c>
      <c r="F399" s="46" t="str">
        <f>IFERROR(__xludf.DUMMYFUNCTION("""COMPUTED_VALUE"""),"Kho 866, xóm 20, xã Nghĩa Thuận, Thị xã Thái Hòa, tỉnh Nghệ An")</f>
        <v>Kho 866, xóm 20, xã Nghĩa Thuận, Thị xã Thái Hòa, tỉnh Nghệ An</v>
      </c>
      <c r="G399" s="46" t="str">
        <f>IFERROR(__xludf.DUMMYFUNCTION("""COMPUTED_VALUE"""),"Shutter")</f>
        <v>Shutter</v>
      </c>
      <c r="H399" s="46"/>
      <c r="I399" s="46"/>
      <c r="J399" s="46"/>
      <c r="K399" s="46" t="str">
        <f>IFERROR(__xludf.DUMMYFUNCTION("""COMPUTED_VALUE"""),"Shutter")</f>
        <v>Shutter</v>
      </c>
      <c r="L399" s="46"/>
      <c r="M399" s="46"/>
      <c r="N399" s="46"/>
      <c r="O399" s="46"/>
      <c r="P399" s="46"/>
      <c r="Q399" s="46" t="str">
        <f>IFERROR(__xludf.DUMMYFUNCTION("""COMPUTED_VALUE"""),"Hoàn thành")</f>
        <v>Hoàn thành</v>
      </c>
      <c r="R399" s="46"/>
      <c r="S399" s="46"/>
      <c r="T399" s="46"/>
      <c r="U399" s="46"/>
      <c r="V399" s="46"/>
      <c r="W399" s="46"/>
      <c r="X399" s="46"/>
      <c r="Y399" s="46"/>
      <c r="Z399" s="46"/>
      <c r="AA399" s="46"/>
    </row>
    <row r="400">
      <c r="A400" s="55">
        <f>IFERROR(__xludf.DUMMYFUNCTION("""COMPUTED_VALUE"""),44323.505326875005)</f>
        <v>44323.50533</v>
      </c>
      <c r="B400" s="56">
        <f>IFERROR(__xludf.DUMMYFUNCTION("""COMPUTED_VALUE"""),44323.0)</f>
        <v>44323</v>
      </c>
      <c r="C400" s="59" t="str">
        <f t="shared" si="3"/>
        <v/>
      </c>
      <c r="D400" s="46" t="str">
        <f>IFERROR(__xludf.DUMMYFUNCTION("""COMPUTED_VALUE"""),"Duclb")</f>
        <v>Duclb</v>
      </c>
      <c r="E400" s="57" t="str">
        <f>IFERROR(__xludf.DUMMYFUNCTION("""COMPUTED_VALUE"""),"5310181446")</f>
        <v>5310181446</v>
      </c>
      <c r="F400" s="46" t="str">
        <f>IFERROR(__xludf.DUMMYFUNCTION("""COMPUTED_VALUE"""),"97 đường Nguyễn Văn Trỗi, P.Lương Khánh Thiện, TP.Phủ Lý, tỉnh Hà Nam")</f>
        <v>97 đường Nguyễn Văn Trỗi, P.Lương Khánh Thiện, TP.Phủ Lý, tỉnh Hà Nam</v>
      </c>
      <c r="G400" s="46" t="str">
        <f>IFERROR(__xludf.DUMMYFUNCTION("""COMPUTED_VALUE"""),"Lỗi 28")</f>
        <v>Lỗi 28</v>
      </c>
      <c r="H400" s="46"/>
      <c r="I400" s="46"/>
      <c r="J400" s="46" t="str">
        <f>IFERROR(__xludf.DUMMYFUNCTION("""COMPUTED_VALUE"""),"Thay 01 shutter lỗi do bị nước vào")</f>
        <v>Thay 01 shutter lỗi do bị nước vào</v>
      </c>
      <c r="K400" s="46" t="str">
        <f>IFERROR(__xludf.DUMMYFUNCTION("""COMPUTED_VALUE"""),"01 shutter")</f>
        <v>01 shutter</v>
      </c>
      <c r="L400" s="46"/>
      <c r="M400" s="46"/>
      <c r="N400" s="46"/>
      <c r="O400" s="46"/>
      <c r="P400" s="46"/>
      <c r="Q400" s="46" t="str">
        <f>IFERROR(__xludf.DUMMYFUNCTION("""COMPUTED_VALUE"""),"Hoàn thành")</f>
        <v>Hoàn thành</v>
      </c>
      <c r="R400" s="46"/>
      <c r="S400" s="46"/>
      <c r="T400" s="46"/>
      <c r="U400" s="46"/>
      <c r="V400" s="46"/>
      <c r="W400" s="46"/>
      <c r="X400" s="46"/>
      <c r="Y400" s="46"/>
      <c r="Z400" s="46"/>
      <c r="AA400" s="46"/>
    </row>
    <row r="401">
      <c r="A401" s="55">
        <f>IFERROR(__xludf.DUMMYFUNCTION("""COMPUTED_VALUE"""),44323.53717553241)</f>
        <v>44323.53718</v>
      </c>
      <c r="B401" s="56">
        <f>IFERROR(__xludf.DUMMYFUNCTION("""COMPUTED_VALUE"""),44321.0)</f>
        <v>44321</v>
      </c>
      <c r="C401" s="59" t="str">
        <f t="shared" si="3"/>
        <v>Báo cáo muộn</v>
      </c>
      <c r="D401" s="46" t="str">
        <f>IFERROR(__xludf.DUMMYFUNCTION("""COMPUTED_VALUE"""),"Hieppn ")</f>
        <v>Hieppn </v>
      </c>
      <c r="E401" s="57" t="str">
        <f>IFERROR(__xludf.DUMMYFUNCTION("""COMPUTED_VALUE"""),"5310106103")</f>
        <v>5310106103</v>
      </c>
      <c r="F401" s="46" t="str">
        <f>IFERROR(__xludf.DUMMYFUNCTION("""COMPUTED_VALUE"""),"Số 120 đường Trần Hưng Đạo, TP. Hà Giang")</f>
        <v>Số 120 đường Trần Hưng Đạo, TP. Hà Giang</v>
      </c>
      <c r="G401" s="46" t="str">
        <f>IFERROR(__xludf.DUMMYFUNCTION("""COMPUTED_VALUE"""),"Lôi bộ trả tiền")</f>
        <v>Lôi bộ trả tiền</v>
      </c>
      <c r="H401" s="46"/>
      <c r="I401" s="46"/>
      <c r="J401" s="46" t="str">
        <f>IFERROR(__xludf.DUMMYFUNCTION("""COMPUTED_VALUE"""),"Thay thế ")</f>
        <v>Thay thế </v>
      </c>
      <c r="K401" s="46" t="str">
        <f>IFERROR(__xludf.DUMMYFUNCTION("""COMPUTED_VALUE"""),"01presentor")</f>
        <v>01presentor</v>
      </c>
      <c r="L401" s="46" t="str">
        <f>IFERROR(__xludf.DUMMYFUNCTION("""COMPUTED_VALUE"""),"01clamp")</f>
        <v>01clamp</v>
      </c>
      <c r="M401" s="46"/>
      <c r="N401" s="46"/>
      <c r="O401" s="46"/>
      <c r="P401" s="46"/>
      <c r="Q401" s="46" t="str">
        <f>IFERROR(__xludf.DUMMYFUNCTION("""COMPUTED_VALUE"""),"Hoàn thành")</f>
        <v>Hoàn thành</v>
      </c>
      <c r="R401" s="46"/>
      <c r="S401" s="46"/>
      <c r="T401" s="46"/>
      <c r="U401" s="46"/>
      <c r="V401" s="46"/>
      <c r="W401" s="46"/>
      <c r="X401" s="46"/>
      <c r="Y401" s="46"/>
      <c r="Z401" s="46"/>
      <c r="AA401" s="46"/>
    </row>
    <row r="402">
      <c r="A402" s="55">
        <f>IFERROR(__xludf.DUMMYFUNCTION("""COMPUTED_VALUE"""),44323.53853394676)</f>
        <v>44323.53853</v>
      </c>
      <c r="B402" s="56">
        <f>IFERROR(__xludf.DUMMYFUNCTION("""COMPUTED_VALUE"""),44321.0)</f>
        <v>44321</v>
      </c>
      <c r="C402" s="59" t="str">
        <f t="shared" si="3"/>
        <v>Báo cáo muộn</v>
      </c>
      <c r="D402" s="46" t="str">
        <f>IFERROR(__xludf.DUMMYFUNCTION("""COMPUTED_VALUE"""),"Hieppn")</f>
        <v>Hieppn</v>
      </c>
      <c r="E402" s="57" t="str">
        <f>IFERROR(__xludf.DUMMYFUNCTION("""COMPUTED_VALUE"""),"5310105901")</f>
        <v>5310105901</v>
      </c>
      <c r="F402" s="46" t="str">
        <f>IFERROR(__xludf.DUMMYFUNCTION("""COMPUTED_VALUE"""),"Số 120 đường Trần Hưng Đạo, TP. Hà Giang")</f>
        <v>Số 120 đường Trần Hưng Đạo, TP. Hà Giang</v>
      </c>
      <c r="G402" s="46" t="str">
        <f>IFERROR(__xludf.DUMMYFUNCTION("""COMPUTED_VALUE"""),"Lỗi bộ trả tiền")</f>
        <v>Lỗi bộ trả tiền</v>
      </c>
      <c r="H402" s="46"/>
      <c r="I402" s="46"/>
      <c r="J402" s="46" t="str">
        <f>IFERROR(__xludf.DUMMYFUNCTION("""COMPUTED_VALUE"""),"Thay thế")</f>
        <v>Thay thế</v>
      </c>
      <c r="K402" s="46" t="str">
        <f>IFERROR(__xludf.DUMMYFUNCTION("""COMPUTED_VALUE"""),"01 côn điện")</f>
        <v>01 côn điện</v>
      </c>
      <c r="L402" s="46"/>
      <c r="M402" s="46"/>
      <c r="N402" s="46"/>
      <c r="O402" s="46"/>
      <c r="P402" s="46"/>
      <c r="Q402" s="46" t="str">
        <f>IFERROR(__xludf.DUMMYFUNCTION("""COMPUTED_VALUE"""),"Hoàn thành")</f>
        <v>Hoàn thành</v>
      </c>
      <c r="R402" s="46"/>
      <c r="S402" s="46"/>
      <c r="T402" s="46"/>
      <c r="U402" s="46"/>
      <c r="V402" s="46"/>
      <c r="W402" s="46"/>
      <c r="X402" s="46"/>
      <c r="Y402" s="46"/>
      <c r="Z402" s="46"/>
      <c r="AA402" s="46"/>
    </row>
    <row r="403">
      <c r="A403" s="55">
        <f>IFERROR(__xludf.DUMMYFUNCTION("""COMPUTED_VALUE"""),44323.566800555556)</f>
        <v>44323.5668</v>
      </c>
      <c r="B403" s="56">
        <f>IFERROR(__xludf.DUMMYFUNCTION("""COMPUTED_VALUE"""),44322.0)</f>
        <v>44322</v>
      </c>
      <c r="C403" s="59" t="str">
        <f t="shared" si="3"/>
        <v/>
      </c>
      <c r="D403" s="46" t="str">
        <f>IFERROR(__xludf.DUMMYFUNCTION("""COMPUTED_VALUE"""),"thangnx")</f>
        <v>thangnx</v>
      </c>
      <c r="E403" s="57" t="str">
        <f>IFERROR(__xludf.DUMMYFUNCTION("""COMPUTED_VALUE"""),"5300381701")</f>
        <v>5300381701</v>
      </c>
      <c r="F403" s="46" t="str">
        <f>IFERROR(__xludf.DUMMYFUNCTION("""COMPUTED_VALUE"""),"739 Lạc Long Quân, Tây Hồ, Hà Nội")</f>
        <v>739 Lạc Long Quân, Tây Hồ, Hà Nội</v>
      </c>
      <c r="G403" s="46" t="str">
        <f>IFERROR(__xludf.DUMMYFUNCTION("""COMPUTED_VALUE"""),"Lỗi tầng 50")</f>
        <v>Lỗi tầng 50</v>
      </c>
      <c r="H403" s="46"/>
      <c r="I403" s="46"/>
      <c r="J403" s="46" t="str">
        <f>IFERROR(__xludf.DUMMYFUNCTION("""COMPUTED_VALUE"""),"Vệ sinh sensor")</f>
        <v>Vệ sinh sensor</v>
      </c>
      <c r="K403" s="46"/>
      <c r="L403" s="46"/>
      <c r="M403" s="46"/>
      <c r="N403" s="46"/>
      <c r="O403" s="46"/>
      <c r="P403" s="46"/>
      <c r="Q403" s="46" t="str">
        <f>IFERROR(__xludf.DUMMYFUNCTION("""COMPUTED_VALUE"""),"Hoàn thành")</f>
        <v>Hoàn thành</v>
      </c>
      <c r="R403" s="46"/>
      <c r="S403" s="46"/>
      <c r="T403" s="46"/>
      <c r="U403" s="46"/>
      <c r="V403" s="46"/>
      <c r="W403" s="46"/>
      <c r="X403" s="46"/>
      <c r="Y403" s="46"/>
      <c r="Z403" s="46"/>
      <c r="AA403" s="46"/>
    </row>
    <row r="404">
      <c r="A404" s="55">
        <f>IFERROR(__xludf.DUMMYFUNCTION("""COMPUTED_VALUE"""),44324.49658363426)</f>
        <v>44324.49658</v>
      </c>
      <c r="B404" s="56">
        <f>IFERROR(__xludf.DUMMYFUNCTION("""COMPUTED_VALUE"""),44324.0)</f>
        <v>44324</v>
      </c>
      <c r="C404" s="59" t="str">
        <f t="shared" si="3"/>
        <v/>
      </c>
      <c r="D404" s="46" t="str">
        <f>IFERROR(__xludf.DUMMYFUNCTION("""COMPUTED_VALUE"""),"Thuongd")</f>
        <v>Thuongd</v>
      </c>
      <c r="E404" s="57" t="str">
        <f>IFERROR(__xludf.DUMMYFUNCTION("""COMPUTED_VALUE"""),"56HGL00292")</f>
        <v>56HGL00292</v>
      </c>
      <c r="F404" s="46" t="str">
        <f>IFERROR(__xludf.DUMMYFUNCTION("""COMPUTED_VALUE"""),"Sư đoàn 341 xã Đông Tân, TP Thanh Hóa, tỉnh Thanh Hóa")</f>
        <v>Sư đoàn 341 xã Đông Tân, TP Thanh Hóa, tỉnh Thanh Hóa</v>
      </c>
      <c r="G404" s="46" t="str">
        <f>IFERROR(__xludf.DUMMYFUNCTION("""COMPUTED_VALUE"""),"Lỗi 2-5")</f>
        <v>Lỗi 2-5</v>
      </c>
      <c r="H404" s="46"/>
      <c r="I404" s="46" t="str">
        <f>IFERROR(__xludf.DUMMYFUNCTION("""COMPUTED_VALUE"""),"Bảo trì")</f>
        <v>Bảo trì</v>
      </c>
      <c r="J404" s="46" t="str">
        <f>IFERROR(__xludf.DUMMYFUNCTION("""COMPUTED_VALUE"""),"Vệ sinh máy")</f>
        <v>Vệ sinh máy</v>
      </c>
      <c r="K404" s="46" t="str">
        <f>IFERROR(__xludf.DUMMYFUNCTION("""COMPUTED_VALUE"""),"04 dây coroa Ex")</f>
        <v>04 dây coroa Ex</v>
      </c>
      <c r="L404" s="46"/>
      <c r="M404" s="46"/>
      <c r="N404" s="46"/>
      <c r="O404" s="46"/>
      <c r="P404" s="46"/>
      <c r="Q404" s="46" t="str">
        <f>IFERROR(__xludf.DUMMYFUNCTION("""COMPUTED_VALUE"""),"Hoàn thành")</f>
        <v>Hoàn thành</v>
      </c>
      <c r="R404" s="46"/>
      <c r="S404" s="46"/>
      <c r="T404" s="46"/>
      <c r="U404" s="46"/>
      <c r="V404" s="46"/>
      <c r="W404" s="46"/>
      <c r="X404" s="46"/>
      <c r="Y404" s="46"/>
      <c r="Z404" s="46"/>
      <c r="AA404" s="46"/>
    </row>
    <row r="405">
      <c r="A405" s="55">
        <f>IFERROR(__xludf.DUMMYFUNCTION("""COMPUTED_VALUE"""),44325.45334241899)</f>
        <v>44325.45334</v>
      </c>
      <c r="B405" s="56">
        <f>IFERROR(__xludf.DUMMYFUNCTION("""COMPUTED_VALUE"""),44325.0)</f>
        <v>44325</v>
      </c>
      <c r="C405" s="59" t="str">
        <f t="shared" si="3"/>
        <v/>
      </c>
      <c r="D405" s="46" t="str">
        <f>IFERROR(__xludf.DUMMYFUNCTION("""COMPUTED_VALUE"""),"Thuongd")</f>
        <v>Thuongd</v>
      </c>
      <c r="E405" s="57" t="str">
        <f>IFERROR(__xludf.DUMMYFUNCTION("""COMPUTED_VALUE"""),"5310180670")</f>
        <v>5310180670</v>
      </c>
      <c r="F405" s="46" t="str">
        <f>IFERROR(__xludf.DUMMYFUNCTION("""COMPUTED_VALUE"""),"Khối Nam Sơn, TT Kim Sơn, Huyện Quế Phong, Tỉnh Nghệ An")</f>
        <v>Khối Nam Sơn, TT Kim Sơn, Huyện Quế Phong, Tỉnh Nghệ An</v>
      </c>
      <c r="G405" s="62">
        <f>IFERROR(__xludf.DUMMYFUNCTION("""COMPUTED_VALUE"""),44257.0)</f>
        <v>44257</v>
      </c>
      <c r="H405" s="46" t="str">
        <f>IFERROR(__xludf.DUMMYFUNCTION("""COMPUTED_VALUE"""),"Hướng dẫn qua điện thoại")</f>
        <v>Hướng dẫn qua điện thoại</v>
      </c>
      <c r="I405" s="46"/>
      <c r="J405" s="46"/>
      <c r="K405" s="46"/>
      <c r="L405" s="46"/>
      <c r="M405" s="46"/>
      <c r="N405" s="46"/>
      <c r="O405" s="46"/>
      <c r="P405" s="46"/>
      <c r="Q405" s="46" t="str">
        <f>IFERROR(__xludf.DUMMYFUNCTION("""COMPUTED_VALUE"""),"Hoàn thành")</f>
        <v>Hoàn thành</v>
      </c>
      <c r="R405" s="46"/>
      <c r="S405" s="46"/>
      <c r="T405" s="46"/>
      <c r="U405" s="46"/>
      <c r="V405" s="46"/>
      <c r="W405" s="46"/>
      <c r="X405" s="46"/>
      <c r="Y405" s="46"/>
      <c r="Z405" s="46"/>
      <c r="AA405" s="46"/>
    </row>
    <row r="406">
      <c r="A406" s="55">
        <f>IFERROR(__xludf.DUMMYFUNCTION("""COMPUTED_VALUE"""),44326.36324302084)</f>
        <v>44326.36324</v>
      </c>
      <c r="B406" s="56">
        <f>IFERROR(__xludf.DUMMYFUNCTION("""COMPUTED_VALUE"""),44301.0)</f>
        <v>44301</v>
      </c>
      <c r="C406" s="59" t="str">
        <f t="shared" si="3"/>
        <v>Báo cáo muộn</v>
      </c>
      <c r="D406" s="46" t="str">
        <f>IFERROR(__xludf.DUMMYFUNCTION("""COMPUTED_VALUE"""),"hoathv")</f>
        <v>hoathv</v>
      </c>
      <c r="E406" s="57" t="str">
        <f>IFERROR(__xludf.DUMMYFUNCTION("""COMPUTED_VALUE"""),"5310105833")</f>
        <v>5310105833</v>
      </c>
      <c r="F406" s="46" t="str">
        <f>IFERROR(__xludf.DUMMYFUNCTION("""COMPUTED_VALUE"""),"Agribank huyện Thanh Miện, số 163 Nguyễn Lương Bằng, thị trấn Thanh Miện, huyện Thanh Miện, Hải Dương")</f>
        <v>Agribank huyện Thanh Miện, số 163 Nguyễn Lương Bằng, thị trấn Thanh Miện, huyện Thanh Miện, Hải Dương</v>
      </c>
      <c r="G406" s="46" t="str">
        <f>IFERROR(__xludf.DUMMYFUNCTION("""COMPUTED_VALUE"""),"Lỗi Hệ điều hành")</f>
        <v>Lỗi Hệ điều hành</v>
      </c>
      <c r="H406" s="46"/>
      <c r="I406" s="46"/>
      <c r="J406" s="46" t="str">
        <f>IFERROR(__xludf.DUMMYFUNCTION("""COMPUTED_VALUE"""),"Ghost lại máy")</f>
        <v>Ghost lại máy</v>
      </c>
      <c r="K406" s="46"/>
      <c r="L406" s="46"/>
      <c r="M406" s="46"/>
      <c r="N406" s="46"/>
      <c r="O406" s="46"/>
      <c r="P406" s="46"/>
      <c r="Q406" s="46" t="str">
        <f>IFERROR(__xludf.DUMMYFUNCTION("""COMPUTED_VALUE"""),"Hoàn thành")</f>
        <v>Hoàn thành</v>
      </c>
      <c r="R406" s="46"/>
      <c r="S406" s="46"/>
      <c r="T406" s="46"/>
      <c r="U406" s="46"/>
      <c r="V406" s="46"/>
      <c r="W406" s="46"/>
      <c r="X406" s="46"/>
      <c r="Y406" s="46"/>
      <c r="Z406" s="46"/>
      <c r="AA406" s="46"/>
    </row>
    <row r="407">
      <c r="A407" s="55">
        <f>IFERROR(__xludf.DUMMYFUNCTION("""COMPUTED_VALUE"""),44326.3637683912)</f>
        <v>44326.36377</v>
      </c>
      <c r="B407" s="56">
        <f>IFERROR(__xludf.DUMMYFUNCTION("""COMPUTED_VALUE"""),44302.0)</f>
        <v>44302</v>
      </c>
      <c r="C407" s="59" t="str">
        <f t="shared" si="3"/>
        <v>Báo cáo muộn</v>
      </c>
      <c r="D407" s="46" t="str">
        <f>IFERROR(__xludf.DUMMYFUNCTION("""COMPUTED_VALUE"""),"hoathv")</f>
        <v>hoathv</v>
      </c>
      <c r="E407" s="57" t="str">
        <f>IFERROR(__xludf.DUMMYFUNCTION("""COMPUTED_VALUE"""),"5300380063")</f>
        <v>5300380063</v>
      </c>
      <c r="F407" s="46" t="str">
        <f>IFERROR(__xludf.DUMMYFUNCTION("""COMPUTED_VALUE"""),"Thị trấn Vương - Tiên Lữ - Hưng Yên")</f>
        <v>Thị trấn Vương - Tiên Lữ - Hưng Yên</v>
      </c>
      <c r="G407" s="46" t="str">
        <f>IFERROR(__xludf.DUMMYFUNCTION("""COMPUTED_VALUE"""),"Lỗi BPTT")</f>
        <v>Lỗi BPTT</v>
      </c>
      <c r="H407" s="46"/>
      <c r="I407" s="46"/>
      <c r="J407" s="46" t="str">
        <f>IFERROR(__xludf.DUMMYFUNCTION("""COMPUTED_VALUE"""),"vệ sinh")</f>
        <v>vệ sinh</v>
      </c>
      <c r="K407" s="46" t="str">
        <f>IFERROR(__xludf.DUMMYFUNCTION("""COMPUTED_VALUE"""),"02 dây curoa")</f>
        <v>02 dây curoa</v>
      </c>
      <c r="L407" s="46"/>
      <c r="M407" s="46"/>
      <c r="N407" s="46"/>
      <c r="O407" s="46"/>
      <c r="P407" s="46"/>
      <c r="Q407" s="46" t="str">
        <f>IFERROR(__xludf.DUMMYFUNCTION("""COMPUTED_VALUE"""),"Hoàn thành")</f>
        <v>Hoàn thành</v>
      </c>
      <c r="R407" s="46"/>
      <c r="S407" s="46"/>
      <c r="T407" s="46"/>
      <c r="U407" s="46"/>
      <c r="V407" s="46"/>
      <c r="W407" s="46"/>
      <c r="X407" s="46"/>
      <c r="Y407" s="46"/>
      <c r="Z407" s="46"/>
      <c r="AA407" s="46"/>
    </row>
    <row r="408">
      <c r="A408" s="55">
        <f>IFERROR(__xludf.DUMMYFUNCTION("""COMPUTED_VALUE"""),44326.36452766204)</f>
        <v>44326.36453</v>
      </c>
      <c r="B408" s="56">
        <f>IFERROR(__xludf.DUMMYFUNCTION("""COMPUTED_VALUE"""),44305.0)</f>
        <v>44305</v>
      </c>
      <c r="C408" s="59" t="str">
        <f t="shared" si="3"/>
        <v>Báo cáo muộn</v>
      </c>
      <c r="D408" s="46" t="str">
        <f>IFERROR(__xludf.DUMMYFUNCTION("""COMPUTED_VALUE"""),"hoathv")</f>
        <v>hoathv</v>
      </c>
      <c r="E408" s="57" t="str">
        <f>IFERROR(__xludf.DUMMYFUNCTION("""COMPUTED_VALUE"""),"5310106091")</f>
        <v>5310106091</v>
      </c>
      <c r="F408" s="46" t="str">
        <f>IFERROR(__xludf.DUMMYFUNCTION("""COMPUTED_VALUE"""),"Trụ sở PGD Chợ Thi, thôn Gạo Nam, xã Hồ Tùng Mậu, huyện Ân Thi, Hưng Yên")</f>
        <v>Trụ sở PGD Chợ Thi, thôn Gạo Nam, xã Hồ Tùng Mậu, huyện Ân Thi, Hưng Yên</v>
      </c>
      <c r="G408" s="46" t="str">
        <f>IFERROR(__xludf.DUMMYFUNCTION("""COMPUTED_VALUE"""),"Lỗi nguồn")</f>
        <v>Lỗi nguồn</v>
      </c>
      <c r="H408" s="46"/>
      <c r="I408" s="46"/>
      <c r="J408" s="46"/>
      <c r="K408" s="46" t="str">
        <f>IFERROR(__xludf.DUMMYFUNCTION("""COMPUTED_VALUE"""),"01 nguồn chính")</f>
        <v>01 nguồn chính</v>
      </c>
      <c r="L408" s="46"/>
      <c r="M408" s="46"/>
      <c r="N408" s="46"/>
      <c r="O408" s="46"/>
      <c r="P408" s="46"/>
      <c r="Q408" s="46" t="str">
        <f>IFERROR(__xludf.DUMMYFUNCTION("""COMPUTED_VALUE"""),"Hoàn thành")</f>
        <v>Hoàn thành</v>
      </c>
      <c r="R408" s="46"/>
      <c r="S408" s="46"/>
      <c r="T408" s="46"/>
      <c r="U408" s="46"/>
      <c r="V408" s="46"/>
      <c r="W408" s="46"/>
      <c r="X408" s="46"/>
      <c r="Y408" s="46"/>
      <c r="Z408" s="46"/>
      <c r="AA408" s="46"/>
    </row>
    <row r="409">
      <c r="A409" s="55">
        <f>IFERROR(__xludf.DUMMYFUNCTION("""COMPUTED_VALUE"""),44326.36498789352)</f>
        <v>44326.36499</v>
      </c>
      <c r="B409" s="56">
        <f>IFERROR(__xludf.DUMMYFUNCTION("""COMPUTED_VALUE"""),44306.0)</f>
        <v>44306</v>
      </c>
      <c r="C409" s="59" t="str">
        <f t="shared" si="3"/>
        <v>Báo cáo muộn</v>
      </c>
      <c r="D409" s="46" t="str">
        <f>IFERROR(__xludf.DUMMYFUNCTION("""COMPUTED_VALUE"""),"hoathv")</f>
        <v>hoathv</v>
      </c>
      <c r="E409" s="57" t="str">
        <f>IFERROR(__xludf.DUMMYFUNCTION("""COMPUTED_VALUE"""),"5300381669")</f>
        <v>5300381669</v>
      </c>
      <c r="F409" s="46" t="str">
        <f>IFERROR(__xludf.DUMMYFUNCTION("""COMPUTED_VALUE"""),"108 đường Trần Phú, Ba Đình, TX. Bỉm Sơn, Thanh Hóa")</f>
        <v>108 đường Trần Phú, Ba Đình, TX. Bỉm Sơn, Thanh Hóa</v>
      </c>
      <c r="G409" s="46" t="str">
        <f>IFERROR(__xludf.DUMMYFUNCTION("""COMPUTED_VALUE"""),"Lỗi BPTT")</f>
        <v>Lỗi BPTT</v>
      </c>
      <c r="H409" s="46"/>
      <c r="I409" s="46" t="str">
        <f>IFERROR(__xludf.DUMMYFUNCTION("""COMPUTED_VALUE"""),"Bảo trì")</f>
        <v>Bảo trì</v>
      </c>
      <c r="J409" s="46" t="str">
        <f>IFERROR(__xludf.DUMMYFUNCTION("""COMPUTED_VALUE"""),"vệ sinh")</f>
        <v>vệ sinh</v>
      </c>
      <c r="K409" s="46" t="str">
        <f>IFERROR(__xludf.DUMMYFUNCTION("""COMPUTED_VALUE"""),"01 DDU")</f>
        <v>01 DDU</v>
      </c>
      <c r="L409" s="46"/>
      <c r="M409" s="46"/>
      <c r="N409" s="46"/>
      <c r="O409" s="46"/>
      <c r="P409" s="46"/>
      <c r="Q409" s="46" t="str">
        <f>IFERROR(__xludf.DUMMYFUNCTION("""COMPUTED_VALUE"""),"Hoàn thành")</f>
        <v>Hoàn thành</v>
      </c>
      <c r="R409" s="46"/>
      <c r="S409" s="46"/>
      <c r="T409" s="46"/>
      <c r="U409" s="46"/>
      <c r="V409" s="46"/>
      <c r="W409" s="46"/>
      <c r="X409" s="46"/>
      <c r="Y409" s="46"/>
      <c r="Z409" s="46"/>
      <c r="AA409" s="46"/>
    </row>
    <row r="410">
      <c r="A410" s="55">
        <f>IFERROR(__xludf.DUMMYFUNCTION("""COMPUTED_VALUE"""),44326.36560885417)</f>
        <v>44326.36561</v>
      </c>
      <c r="B410" s="56">
        <f>IFERROR(__xludf.DUMMYFUNCTION("""COMPUTED_VALUE"""),44307.0)</f>
        <v>44307</v>
      </c>
      <c r="C410" s="59" t="str">
        <f t="shared" si="3"/>
        <v>Báo cáo muộn</v>
      </c>
      <c r="D410" s="46" t="str">
        <f>IFERROR(__xludf.DUMMYFUNCTION("""COMPUTED_VALUE"""),"hoathv")</f>
        <v>hoathv</v>
      </c>
      <c r="E410" s="57" t="str">
        <f>IFERROR(__xludf.DUMMYFUNCTION("""COMPUTED_VALUE"""),"5300381479")</f>
        <v>5300381479</v>
      </c>
      <c r="F410" s="46" t="str">
        <f>IFERROR(__xludf.DUMMYFUNCTION("""COMPUTED_VALUE"""),"Thị trấn Xuân Hòa - H.Lập Trạch - Vĩnh Phúc")</f>
        <v>Thị trấn Xuân Hòa - H.Lập Trạch - Vĩnh Phúc</v>
      </c>
      <c r="G410" s="46" t="str">
        <f>IFERROR(__xludf.DUMMYFUNCTION("""COMPUTED_VALUE"""),"Lỗi BPTT")</f>
        <v>Lỗi BPTT</v>
      </c>
      <c r="H410" s="46"/>
      <c r="I410" s="46"/>
      <c r="J410" s="46" t="str">
        <f>IFERROR(__xludf.DUMMYFUNCTION("""COMPUTED_VALUE"""),"vệ sinh")</f>
        <v>vệ sinh</v>
      </c>
      <c r="K410" s="46" t="str">
        <f>IFERROR(__xludf.DUMMYFUNCTION("""COMPUTED_VALUE"""),"02 trục cuốn EX")</f>
        <v>02 trục cuốn EX</v>
      </c>
      <c r="L410" s="46"/>
      <c r="M410" s="46"/>
      <c r="N410" s="46"/>
      <c r="O410" s="46"/>
      <c r="P410" s="46"/>
      <c r="Q410" s="46" t="str">
        <f>IFERROR(__xludf.DUMMYFUNCTION("""COMPUTED_VALUE"""),"Hoàn thành")</f>
        <v>Hoàn thành</v>
      </c>
      <c r="R410" s="46"/>
      <c r="S410" s="46"/>
      <c r="T410" s="46"/>
      <c r="U410" s="46"/>
      <c r="V410" s="46"/>
      <c r="W410" s="46"/>
      <c r="X410" s="46"/>
      <c r="Y410" s="46"/>
      <c r="Z410" s="46"/>
      <c r="AA410" s="46"/>
    </row>
    <row r="411">
      <c r="A411" s="55">
        <f>IFERROR(__xludf.DUMMYFUNCTION("""COMPUTED_VALUE"""),44326.36649340278)</f>
        <v>44326.36649</v>
      </c>
      <c r="B411" s="56">
        <f>IFERROR(__xludf.DUMMYFUNCTION("""COMPUTED_VALUE"""),44306.0)</f>
        <v>44306</v>
      </c>
      <c r="C411" s="59" t="str">
        <f t="shared" si="3"/>
        <v>Báo cáo muộn</v>
      </c>
      <c r="D411" s="46" t="str">
        <f>IFERROR(__xludf.DUMMYFUNCTION("""COMPUTED_VALUE"""),"hoathv")</f>
        <v>hoathv</v>
      </c>
      <c r="E411" s="57" t="str">
        <f>IFERROR(__xludf.DUMMYFUNCTION("""COMPUTED_VALUE"""),"5300380894")</f>
        <v>5300380894</v>
      </c>
      <c r="F411" s="46" t="str">
        <f>IFERROR(__xludf.DUMMYFUNCTION("""COMPUTED_VALUE"""),"NHNo Vĩnh Tường - Vĩnh Tường - Vĩnh Phúc")</f>
        <v>NHNo Vĩnh Tường - Vĩnh Tường - Vĩnh Phúc</v>
      </c>
      <c r="G411" s="46" t="str">
        <f>IFERROR(__xludf.DUMMYFUNCTION("""COMPUTED_VALUE"""),"Lỗi EPP")</f>
        <v>Lỗi EPP</v>
      </c>
      <c r="H411" s="46"/>
      <c r="I411" s="46"/>
      <c r="J411" s="46"/>
      <c r="K411" s="46" t="str">
        <f>IFERROR(__xludf.DUMMYFUNCTION("""COMPUTED_VALUE"""),"01 SEL")</f>
        <v>01 SEL</v>
      </c>
      <c r="L411" s="46"/>
      <c r="M411" s="46"/>
      <c r="N411" s="46"/>
      <c r="O411" s="46"/>
      <c r="P411" s="46"/>
      <c r="Q411" s="46" t="str">
        <f>IFERROR(__xludf.DUMMYFUNCTION("""COMPUTED_VALUE"""),"Hoàn thành")</f>
        <v>Hoàn thành</v>
      </c>
      <c r="R411" s="46"/>
      <c r="S411" s="46"/>
      <c r="T411" s="46"/>
      <c r="U411" s="46"/>
      <c r="V411" s="46"/>
      <c r="W411" s="46"/>
      <c r="X411" s="46"/>
      <c r="Y411" s="46"/>
      <c r="Z411" s="46"/>
      <c r="AA411" s="46"/>
    </row>
    <row r="412">
      <c r="A412" s="55">
        <f>IFERROR(__xludf.DUMMYFUNCTION("""COMPUTED_VALUE"""),44326.36791909722)</f>
        <v>44326.36792</v>
      </c>
      <c r="B412" s="56">
        <f>IFERROR(__xludf.DUMMYFUNCTION("""COMPUTED_VALUE"""),44312.0)</f>
        <v>44312</v>
      </c>
      <c r="C412" s="59" t="str">
        <f t="shared" si="3"/>
        <v>Báo cáo muộn</v>
      </c>
      <c r="D412" s="46" t="str">
        <f>IFERROR(__xludf.DUMMYFUNCTION("""COMPUTED_VALUE"""),"hoathv")</f>
        <v>hoathv</v>
      </c>
      <c r="E412" s="57" t="str">
        <f>IFERROR(__xludf.DUMMYFUNCTION("""COMPUTED_VALUE"""),"56HGL03553")</f>
        <v>56HGL03553</v>
      </c>
      <c r="F412" s="46" t="str">
        <f>IFERROR(__xludf.DUMMYFUNCTION("""COMPUTED_VALUE"""),"Khuôn viên Trung đoàn không quân 921, Phường Nam Cường,  TP Yên Bái, tỉnh Yên Bái")</f>
        <v>Khuôn viên Trung đoàn không quân 921, Phường Nam Cường,  TP Yên Bái, tỉnh Yên Bái</v>
      </c>
      <c r="G412" s="46" t="str">
        <f>IFERROR(__xludf.DUMMYFUNCTION("""COMPUTED_VALUE"""),"Lỗi BPTT")</f>
        <v>Lỗi BPTT</v>
      </c>
      <c r="H412" s="46"/>
      <c r="I412" s="46"/>
      <c r="J412" s="46" t="str">
        <f>IFERROR(__xludf.DUMMYFUNCTION("""COMPUTED_VALUE"""),"vệ sinh")</f>
        <v>vệ sinh</v>
      </c>
      <c r="K412" s="46"/>
      <c r="L412" s="46"/>
      <c r="M412" s="46"/>
      <c r="N412" s="46"/>
      <c r="O412" s="46"/>
      <c r="P412" s="46"/>
      <c r="Q412" s="46" t="str">
        <f>IFERROR(__xludf.DUMMYFUNCTION("""COMPUTED_VALUE"""),"Hoàn thành")</f>
        <v>Hoàn thành</v>
      </c>
      <c r="R412" s="46"/>
      <c r="S412" s="46"/>
      <c r="T412" s="46"/>
      <c r="U412" s="46"/>
      <c r="V412" s="46"/>
      <c r="W412" s="46"/>
      <c r="X412" s="46"/>
      <c r="Y412" s="46"/>
      <c r="Z412" s="46"/>
      <c r="AA412" s="46"/>
    </row>
    <row r="413">
      <c r="A413" s="55">
        <f>IFERROR(__xludf.DUMMYFUNCTION("""COMPUTED_VALUE"""),44326.3683174537)</f>
        <v>44326.36832</v>
      </c>
      <c r="B413" s="56">
        <f>IFERROR(__xludf.DUMMYFUNCTION("""COMPUTED_VALUE"""),44313.0)</f>
        <v>44313</v>
      </c>
      <c r="C413" s="59" t="str">
        <f t="shared" si="3"/>
        <v>Báo cáo muộn</v>
      </c>
      <c r="D413" s="46" t="str">
        <f>IFERROR(__xludf.DUMMYFUNCTION("""COMPUTED_VALUE"""),"hoathv")</f>
        <v>hoathv</v>
      </c>
      <c r="E413" s="57" t="str">
        <f>IFERROR(__xludf.DUMMYFUNCTION("""COMPUTED_VALUE"""),"5310182682")</f>
        <v>5310182682</v>
      </c>
      <c r="F413" s="46" t="str">
        <f>IFERROR(__xludf.DUMMYFUNCTION("""COMPUTED_VALUE"""),"Tổ 9, TT Nông Trường Trần Phú, huyện Văn Chấn, Yên Bái")</f>
        <v>Tổ 9, TT Nông Trường Trần Phú, huyện Văn Chấn, Yên Bái</v>
      </c>
      <c r="G413" s="46" t="str">
        <f>IFERROR(__xludf.DUMMYFUNCTION("""COMPUTED_VALUE"""),"bảo trì")</f>
        <v>bảo trì</v>
      </c>
      <c r="H413" s="46"/>
      <c r="I413" s="46" t="str">
        <f>IFERROR(__xludf.DUMMYFUNCTION("""COMPUTED_VALUE"""),"Bảo trì")</f>
        <v>Bảo trì</v>
      </c>
      <c r="J413" s="46" t="str">
        <f>IFERROR(__xludf.DUMMYFUNCTION("""COMPUTED_VALUE"""),"vệ sinh")</f>
        <v>vệ sinh</v>
      </c>
      <c r="K413" s="46"/>
      <c r="L413" s="46"/>
      <c r="M413" s="46"/>
      <c r="N413" s="46"/>
      <c r="O413" s="46"/>
      <c r="P413" s="46"/>
      <c r="Q413" s="46" t="str">
        <f>IFERROR(__xludf.DUMMYFUNCTION("""COMPUTED_VALUE"""),"Hoàn thành")</f>
        <v>Hoàn thành</v>
      </c>
      <c r="R413" s="46"/>
      <c r="S413" s="46"/>
      <c r="T413" s="46"/>
      <c r="U413" s="46"/>
      <c r="V413" s="46"/>
      <c r="W413" s="46"/>
      <c r="X413" s="46"/>
      <c r="Y413" s="46"/>
      <c r="Z413" s="46"/>
      <c r="AA413" s="46"/>
    </row>
    <row r="414">
      <c r="A414" s="55">
        <f>IFERROR(__xludf.DUMMYFUNCTION("""COMPUTED_VALUE"""),44326.37008986111)</f>
        <v>44326.37009</v>
      </c>
      <c r="B414" s="56">
        <f>IFERROR(__xludf.DUMMYFUNCTION("""COMPUTED_VALUE"""),44314.0)</f>
        <v>44314</v>
      </c>
      <c r="C414" s="59" t="str">
        <f t="shared" si="3"/>
        <v>Báo cáo muộn</v>
      </c>
      <c r="D414" s="46" t="str">
        <f>IFERROR(__xludf.DUMMYFUNCTION("""COMPUTED_VALUE"""),"hoathv")</f>
        <v>hoathv</v>
      </c>
      <c r="E414" s="57" t="str">
        <f>IFERROR(__xludf.DUMMYFUNCTION("""COMPUTED_VALUE"""),"5310183028")</f>
        <v>5310183028</v>
      </c>
      <c r="F414" s="46" t="str">
        <f>IFERROR(__xludf.DUMMYFUNCTION("""COMPUTED_VALUE"""),"Số 43 đường Đinh Tiên Hoàng, phường Đồng Tâm, TP Yên Bái")</f>
        <v>Số 43 đường Đinh Tiên Hoàng, phường Đồng Tâm, TP Yên Bái</v>
      </c>
      <c r="G414" s="46" t="str">
        <f>IFERROR(__xludf.DUMMYFUNCTION("""COMPUTED_VALUE"""),"bảo trì")</f>
        <v>bảo trì</v>
      </c>
      <c r="H414" s="46"/>
      <c r="I414" s="46" t="str">
        <f>IFERROR(__xludf.DUMMYFUNCTION("""COMPUTED_VALUE"""),"Bảo trì")</f>
        <v>Bảo trì</v>
      </c>
      <c r="J414" s="46" t="str">
        <f>IFERROR(__xludf.DUMMYFUNCTION("""COMPUTED_VALUE"""),"vệ sinh")</f>
        <v>vệ sinh</v>
      </c>
      <c r="K414" s="46"/>
      <c r="L414" s="46"/>
      <c r="M414" s="46"/>
      <c r="N414" s="46"/>
      <c r="O414" s="46"/>
      <c r="P414" s="46"/>
      <c r="Q414" s="46" t="str">
        <f>IFERROR(__xludf.DUMMYFUNCTION("""COMPUTED_VALUE"""),"Hoàn thành")</f>
        <v>Hoàn thành</v>
      </c>
      <c r="R414" s="46"/>
      <c r="S414" s="46"/>
      <c r="T414" s="46"/>
      <c r="U414" s="46"/>
      <c r="V414" s="46"/>
      <c r="W414" s="46"/>
      <c r="X414" s="46"/>
      <c r="Y414" s="46"/>
      <c r="Z414" s="46"/>
      <c r="AA414" s="46"/>
    </row>
    <row r="415">
      <c r="A415" s="55">
        <f>IFERROR(__xludf.DUMMYFUNCTION("""COMPUTED_VALUE"""),44326.37066930556)</f>
        <v>44326.37067</v>
      </c>
      <c r="B415" s="56">
        <f>IFERROR(__xludf.DUMMYFUNCTION("""COMPUTED_VALUE"""),44315.0)</f>
        <v>44315</v>
      </c>
      <c r="C415" s="59" t="str">
        <f t="shared" si="3"/>
        <v>Báo cáo muộn</v>
      </c>
      <c r="D415" s="46" t="str">
        <f>IFERROR(__xludf.DUMMYFUNCTION("""COMPUTED_VALUE"""),"hoathv")</f>
        <v>hoathv</v>
      </c>
      <c r="E415" s="57" t="str">
        <f>IFERROR(__xludf.DUMMYFUNCTION("""COMPUTED_VALUE"""),"5310182509")</f>
        <v>5310182509</v>
      </c>
      <c r="F415" s="46" t="str">
        <f>IFERROR(__xludf.DUMMYFUNCTION("""COMPUTED_VALUE"""),"số 133, đường Nguyễn Thái Học, TP Yên Bái, tỉnh Yên Bái")</f>
        <v>số 133, đường Nguyễn Thái Học, TP Yên Bái, tỉnh Yên Bái</v>
      </c>
      <c r="G415" s="46" t="str">
        <f>IFERROR(__xludf.DUMMYFUNCTION("""COMPUTED_VALUE"""),"bảo trì")</f>
        <v>bảo trì</v>
      </c>
      <c r="H415" s="46"/>
      <c r="I415" s="46" t="str">
        <f>IFERROR(__xludf.DUMMYFUNCTION("""COMPUTED_VALUE"""),"Bảo trì")</f>
        <v>Bảo trì</v>
      </c>
      <c r="J415" s="46" t="str">
        <f>IFERROR(__xludf.DUMMYFUNCTION("""COMPUTED_VALUE"""),"vệ sinh")</f>
        <v>vệ sinh</v>
      </c>
      <c r="K415" s="46"/>
      <c r="L415" s="46"/>
      <c r="M415" s="46"/>
      <c r="N415" s="46"/>
      <c r="O415" s="46"/>
      <c r="P415" s="46"/>
      <c r="Q415" s="46" t="str">
        <f>IFERROR(__xludf.DUMMYFUNCTION("""COMPUTED_VALUE"""),"Hoàn thành")</f>
        <v>Hoàn thành</v>
      </c>
      <c r="R415" s="46"/>
      <c r="S415" s="46"/>
      <c r="T415" s="46"/>
      <c r="U415" s="46"/>
      <c r="V415" s="46"/>
      <c r="W415" s="46"/>
      <c r="X415" s="46"/>
      <c r="Y415" s="46"/>
      <c r="Z415" s="46"/>
      <c r="AA415" s="46"/>
    </row>
    <row r="416">
      <c r="A416" s="55">
        <f>IFERROR(__xludf.DUMMYFUNCTION("""COMPUTED_VALUE"""),44326.370995868056)</f>
        <v>44326.371</v>
      </c>
      <c r="B416" s="56">
        <f>IFERROR(__xludf.DUMMYFUNCTION("""COMPUTED_VALUE"""),44315.0)</f>
        <v>44315</v>
      </c>
      <c r="C416" s="59" t="str">
        <f t="shared" si="3"/>
        <v>Báo cáo muộn</v>
      </c>
      <c r="D416" s="46" t="str">
        <f>IFERROR(__xludf.DUMMYFUNCTION("""COMPUTED_VALUE"""),"hoathv")</f>
        <v>hoathv</v>
      </c>
      <c r="E416" s="57" t="str">
        <f>IFERROR(__xludf.DUMMYFUNCTION("""COMPUTED_VALUE"""),"5310181029")</f>
        <v>5310181029</v>
      </c>
      <c r="F416" s="46" t="str">
        <f>IFERROR(__xludf.DUMMYFUNCTION("""COMPUTED_VALUE"""),"số 133, đường Nguyễn Thái Học, TP Yên Bái, tỉnh Yên Bái")</f>
        <v>số 133, đường Nguyễn Thái Học, TP Yên Bái, tỉnh Yên Bái</v>
      </c>
      <c r="G416" s="46" t="str">
        <f>IFERROR(__xludf.DUMMYFUNCTION("""COMPUTED_VALUE"""),"bảo trì")</f>
        <v>bảo trì</v>
      </c>
      <c r="H416" s="46"/>
      <c r="I416" s="46" t="str">
        <f>IFERROR(__xludf.DUMMYFUNCTION("""COMPUTED_VALUE"""),"Bảo trì")</f>
        <v>Bảo trì</v>
      </c>
      <c r="J416" s="46" t="str">
        <f>IFERROR(__xludf.DUMMYFUNCTION("""COMPUTED_VALUE"""),"vệ sinh")</f>
        <v>vệ sinh</v>
      </c>
      <c r="K416" s="46"/>
      <c r="L416" s="46"/>
      <c r="M416" s="46"/>
      <c r="N416" s="46"/>
      <c r="O416" s="46"/>
      <c r="P416" s="46"/>
      <c r="Q416" s="46" t="str">
        <f>IFERROR(__xludf.DUMMYFUNCTION("""COMPUTED_VALUE"""),"Hoàn thành")</f>
        <v>Hoàn thành</v>
      </c>
      <c r="R416" s="46"/>
      <c r="S416" s="46"/>
      <c r="T416" s="46"/>
      <c r="U416" s="46"/>
      <c r="V416" s="46"/>
      <c r="W416" s="46"/>
      <c r="X416" s="46"/>
      <c r="Y416" s="46"/>
      <c r="Z416" s="46"/>
      <c r="AA416" s="46"/>
    </row>
    <row r="417">
      <c r="A417" s="55">
        <f>IFERROR(__xludf.DUMMYFUNCTION("""COMPUTED_VALUE"""),44326.371580046296)</f>
        <v>44326.37158</v>
      </c>
      <c r="B417" s="56">
        <f>IFERROR(__xludf.DUMMYFUNCTION("""COMPUTED_VALUE"""),44320.0)</f>
        <v>44320</v>
      </c>
      <c r="C417" s="59" t="str">
        <f t="shared" si="3"/>
        <v>Báo cáo muộn</v>
      </c>
      <c r="D417" s="46" t="str">
        <f>IFERROR(__xludf.DUMMYFUNCTION("""COMPUTED_VALUE"""),"hoathv")</f>
        <v>hoathv</v>
      </c>
      <c r="E417" s="57" t="str">
        <f>IFERROR(__xludf.DUMMYFUNCTION("""COMPUTED_VALUE"""),"5310106109")</f>
        <v>5310106109</v>
      </c>
      <c r="F417" s="46" t="str">
        <f>IFERROR(__xludf.DUMMYFUNCTION("""COMPUTED_VALUE"""),"Khối 4 thị trấn Phù Yên, huyện Phù Yên, Sơn La")</f>
        <v>Khối 4 thị trấn Phù Yên, huyện Phù Yên, Sơn La</v>
      </c>
      <c r="G417" s="46" t="str">
        <f>IFERROR(__xludf.DUMMYFUNCTION("""COMPUTED_VALUE"""),"Lỗi BPTT")</f>
        <v>Lỗi BPTT</v>
      </c>
      <c r="H417" s="46"/>
      <c r="I417" s="46"/>
      <c r="J417" s="46"/>
      <c r="K417" s="46" t="str">
        <f>IFERROR(__xludf.DUMMYFUNCTION("""COMPUTED_VALUE"""),"02 trục cuốn")</f>
        <v>02 trục cuốn</v>
      </c>
      <c r="L417" s="46" t="str">
        <f>IFERROR(__xludf.DUMMYFUNCTION("""COMPUTED_VALUE"""),"02 dây curoa")</f>
        <v>02 dây curoa</v>
      </c>
      <c r="M417" s="46"/>
      <c r="N417" s="46"/>
      <c r="O417" s="46"/>
      <c r="P417" s="46"/>
      <c r="Q417" s="46" t="str">
        <f>IFERROR(__xludf.DUMMYFUNCTION("""COMPUTED_VALUE"""),"Hoàn thành")</f>
        <v>Hoàn thành</v>
      </c>
      <c r="R417" s="46"/>
      <c r="S417" s="46"/>
      <c r="T417" s="46"/>
      <c r="U417" s="46"/>
      <c r="V417" s="46"/>
      <c r="W417" s="46"/>
      <c r="X417" s="46"/>
      <c r="Y417" s="46"/>
      <c r="Z417" s="46"/>
      <c r="AA417" s="46"/>
    </row>
    <row r="418">
      <c r="A418" s="55">
        <f>IFERROR(__xludf.DUMMYFUNCTION("""COMPUTED_VALUE"""),44326.58258434028)</f>
        <v>44326.58258</v>
      </c>
      <c r="B418" s="56">
        <f>IFERROR(__xludf.DUMMYFUNCTION("""COMPUTED_VALUE"""),44326.0)</f>
        <v>44326</v>
      </c>
      <c r="C418" s="59" t="str">
        <f t="shared" si="3"/>
        <v/>
      </c>
      <c r="D418" s="46" t="str">
        <f>IFERROR(__xludf.DUMMYFUNCTION("""COMPUTED_VALUE"""),"Thuongd")</f>
        <v>Thuongd</v>
      </c>
      <c r="E418" s="57" t="str">
        <f>IFERROR(__xludf.DUMMYFUNCTION("""COMPUTED_VALUE"""),"5310180670")</f>
        <v>5310180670</v>
      </c>
      <c r="F418" s="46" t="str">
        <f>IFERROR(__xludf.DUMMYFUNCTION("""COMPUTED_VALUE"""),"Khối Nam Sơn, TT Kim Sơn, Huyện Quế Phong, Tỉnh Nghệ An")</f>
        <v>Khối Nam Sơn, TT Kim Sơn, Huyện Quế Phong, Tỉnh Nghệ An</v>
      </c>
      <c r="G418" s="46" t="str">
        <f>IFERROR(__xludf.DUMMYFUNCTION("""COMPUTED_VALUE"""),"2-3, 1-9")</f>
        <v>2-3, 1-9</v>
      </c>
      <c r="H418" s="46"/>
      <c r="I418" s="46"/>
      <c r="J418" s="46" t="str">
        <f>IFERROR(__xludf.DUMMYFUNCTION("""COMPUTED_VALUE"""),"Vệ sinh ATM, cắt cạo cáp clamp. Cần thay clamp khác")</f>
        <v>Vệ sinh ATM, cắt cạo cáp clamp. Cần thay clamp khác</v>
      </c>
      <c r="K418" s="46"/>
      <c r="L418" s="46"/>
      <c r="M418" s="46"/>
      <c r="N418" s="46"/>
      <c r="O418" s="46"/>
      <c r="P418" s="46"/>
      <c r="Q418" s="46" t="str">
        <f>IFERROR(__xludf.DUMMYFUNCTION("""COMPUTED_VALUE"""),"Hoàn thành")</f>
        <v>Hoàn thành</v>
      </c>
      <c r="R418" s="46"/>
      <c r="S418" s="46"/>
      <c r="T418" s="46"/>
      <c r="U418" s="46"/>
      <c r="V418" s="46"/>
      <c r="W418" s="46"/>
      <c r="X418" s="46"/>
      <c r="Y418" s="46"/>
      <c r="Z418" s="46"/>
      <c r="AA418" s="46"/>
    </row>
    <row r="419">
      <c r="A419" s="55">
        <f>IFERROR(__xludf.DUMMYFUNCTION("""COMPUTED_VALUE"""),44326.61983306713)</f>
        <v>44326.61983</v>
      </c>
      <c r="B419" s="56">
        <f>IFERROR(__xludf.DUMMYFUNCTION("""COMPUTED_VALUE"""),44326.0)</f>
        <v>44326</v>
      </c>
      <c r="C419" s="59" t="str">
        <f t="shared" si="3"/>
        <v/>
      </c>
      <c r="D419" s="46" t="str">
        <f>IFERROR(__xludf.DUMMYFUNCTION("""COMPUTED_VALUE"""),"Tuanva")</f>
        <v>Tuanva</v>
      </c>
      <c r="E419" s="57" t="str">
        <f>IFERROR(__xludf.DUMMYFUNCTION("""COMPUTED_VALUE"""),"5310106109")</f>
        <v>5310106109</v>
      </c>
      <c r="F419" s="46" t="str">
        <f>IFERROR(__xludf.DUMMYFUNCTION("""COMPUTED_VALUE"""),"Khối 4 thị trấn Phù Yên, huyện Phù Yên, Sơn La")</f>
        <v>Khối 4 thị trấn Phù Yên, huyện Phù Yên, Sơn La</v>
      </c>
      <c r="G419" s="46" t="str">
        <f>IFERROR(__xludf.DUMMYFUNCTION("""COMPUTED_VALUE"""),"Lỗi bàn phím")</f>
        <v>Lỗi bàn phím</v>
      </c>
      <c r="H419" s="46"/>
      <c r="I419" s="46"/>
      <c r="J419" s="46" t="str">
        <f>IFERROR(__xludf.DUMMYFUNCTION("""COMPUTED_VALUE"""),"Thay thế bàn phím")</f>
        <v>Thay thế bàn phím</v>
      </c>
      <c r="K419" s="46" t="str">
        <f>IFERROR(__xludf.DUMMYFUNCTION("""COMPUTED_VALUE"""),"Thay 01 bàn phím")</f>
        <v>Thay 01 bàn phím</v>
      </c>
      <c r="L419" s="46"/>
      <c r="M419" s="46"/>
      <c r="N419" s="46"/>
      <c r="O419" s="46"/>
      <c r="P419" s="46"/>
      <c r="Q419" s="46" t="str">
        <f>IFERROR(__xludf.DUMMYFUNCTION("""COMPUTED_VALUE"""),"Hoàn thành")</f>
        <v>Hoàn thành</v>
      </c>
      <c r="R419" s="46"/>
      <c r="S419" s="46"/>
      <c r="T419" s="46"/>
      <c r="U419" s="46"/>
      <c r="V419" s="46"/>
      <c r="W419" s="46"/>
      <c r="X419" s="46"/>
      <c r="Y419" s="46"/>
      <c r="Z419" s="46"/>
      <c r="AA419" s="46"/>
    </row>
    <row r="420">
      <c r="A420" s="55">
        <f>IFERROR(__xludf.DUMMYFUNCTION("""COMPUTED_VALUE"""),44327.487091840274)</f>
        <v>44327.48709</v>
      </c>
      <c r="B420" s="56">
        <f>IFERROR(__xludf.DUMMYFUNCTION("""COMPUTED_VALUE"""),44327.0)</f>
        <v>44327</v>
      </c>
      <c r="C420" s="59" t="str">
        <f t="shared" si="3"/>
        <v/>
      </c>
      <c r="D420" s="46" t="str">
        <f>IFERROR(__xludf.DUMMYFUNCTION("""COMPUTED_VALUE"""),"Hieppn")</f>
        <v>Hieppn</v>
      </c>
      <c r="E420" s="57" t="str">
        <f>IFERROR(__xludf.DUMMYFUNCTION("""COMPUTED_VALUE"""),"5310105339")</f>
        <v>5310105339</v>
      </c>
      <c r="F420" s="46" t="str">
        <f>IFERROR(__xludf.DUMMYFUNCTION("""COMPUTED_VALUE"""),"PGD KCN An Dương, Hải Phòng")</f>
        <v>PGD KCN An Dương, Hải Phòng</v>
      </c>
      <c r="G420" s="46" t="str">
        <f>IFERROR(__xludf.DUMMYFUNCTION("""COMPUTED_VALUE"""),"Hay kẹt tiền")</f>
        <v>Hay kẹt tiền</v>
      </c>
      <c r="H420" s="46"/>
      <c r="I420" s="46"/>
      <c r="J420" s="46" t="str">
        <f>IFERROR(__xludf.DUMMYFUNCTION("""COMPUTED_VALUE"""),"Thay thế ")</f>
        <v>Thay thế </v>
      </c>
      <c r="K420" s="46" t="str">
        <f>IFERROR(__xludf.DUMMYFUNCTION("""COMPUTED_VALUE"""),"04 dây curoa")</f>
        <v>04 dây curoa</v>
      </c>
      <c r="L420" s="46" t="str">
        <f>IFERROR(__xludf.DUMMYFUNCTION("""COMPUTED_VALUE"""),"01trục")</f>
        <v>01trục</v>
      </c>
      <c r="M420" s="46" t="str">
        <f>IFERROR(__xludf.DUMMYFUNCTION("""COMPUTED_VALUE"""),"01 trục đỡ")</f>
        <v>01 trục đỡ</v>
      </c>
      <c r="N420" s="46"/>
      <c r="O420" s="46"/>
      <c r="P420" s="46"/>
      <c r="Q420" s="46" t="str">
        <f>IFERROR(__xludf.DUMMYFUNCTION("""COMPUTED_VALUE"""),"Hoàn thành")</f>
        <v>Hoàn thành</v>
      </c>
      <c r="R420" s="46"/>
      <c r="S420" s="46"/>
      <c r="T420" s="46"/>
      <c r="U420" s="46"/>
      <c r="V420" s="46"/>
      <c r="W420" s="46"/>
      <c r="X420" s="46"/>
      <c r="Y420" s="46"/>
      <c r="Z420" s="46"/>
      <c r="AA420" s="46"/>
    </row>
    <row r="421">
      <c r="A421" s="55">
        <f>IFERROR(__xludf.DUMMYFUNCTION("""COMPUTED_VALUE"""),44327.61026990741)</f>
        <v>44327.61027</v>
      </c>
      <c r="B421" s="56">
        <f>IFERROR(__xludf.DUMMYFUNCTION("""COMPUTED_VALUE"""),44327.0)</f>
        <v>44327</v>
      </c>
      <c r="C421" s="59" t="str">
        <f t="shared" si="3"/>
        <v/>
      </c>
      <c r="D421" s="46" t="str">
        <f>IFERROR(__xludf.DUMMYFUNCTION("""COMPUTED_VALUE"""),"Thuongd")</f>
        <v>Thuongd</v>
      </c>
      <c r="E421" s="57" t="str">
        <f>IFERROR(__xludf.DUMMYFUNCTION("""COMPUTED_VALUE"""),"5300380938")</f>
        <v>5300380938</v>
      </c>
      <c r="F421" s="46" t="str">
        <f>IFERROR(__xludf.DUMMYFUNCTION("""COMPUTED_VALUE"""),"NHNo Đức Thọ, xóm 5 thị trấn Đức Thọ, Đức Thọ")</f>
        <v>NHNo Đức Thọ, xóm 5 thị trấn Đức Thọ, Đức Thọ</v>
      </c>
      <c r="G421" s="46" t="str">
        <f>IFERROR(__xludf.DUMMYFUNCTION("""COMPUTED_VALUE"""),"Tiền loại nhiều")</f>
        <v>Tiền loại nhiều</v>
      </c>
      <c r="H421" s="46"/>
      <c r="I421" s="46"/>
      <c r="J421" s="46" t="str">
        <f>IFERROR(__xludf.DUMMYFUNCTION("""COMPUTED_VALUE"""),"Vệ sinh, thay trục đen, dây coroa")</f>
        <v>Vệ sinh, thay trục đen, dây coroa</v>
      </c>
      <c r="K421" s="46"/>
      <c r="L421" s="46"/>
      <c r="M421" s="46"/>
      <c r="N421" s="46"/>
      <c r="O421" s="46"/>
      <c r="P421" s="46"/>
      <c r="Q421" s="46" t="str">
        <f>IFERROR(__xludf.DUMMYFUNCTION("""COMPUTED_VALUE"""),"Hoàn thành")</f>
        <v>Hoàn thành</v>
      </c>
      <c r="R421" s="46"/>
      <c r="S421" s="46"/>
      <c r="T421" s="46"/>
      <c r="U421" s="46"/>
      <c r="V421" s="46"/>
      <c r="W421" s="46"/>
      <c r="X421" s="46"/>
      <c r="Y421" s="46"/>
      <c r="Z421" s="46"/>
      <c r="AA421" s="46"/>
    </row>
    <row r="422">
      <c r="A422" s="55">
        <f>IFERROR(__xludf.DUMMYFUNCTION("""COMPUTED_VALUE"""),44327.756478125)</f>
        <v>44327.75648</v>
      </c>
      <c r="B422" s="56">
        <f>IFERROR(__xludf.DUMMYFUNCTION("""COMPUTED_VALUE"""),44327.0)</f>
        <v>44327</v>
      </c>
      <c r="C422" s="59" t="str">
        <f t="shared" si="3"/>
        <v/>
      </c>
      <c r="D422" s="46" t="str">
        <f>IFERROR(__xludf.DUMMYFUNCTION("""COMPUTED_VALUE"""),"Bannt")</f>
        <v>Bannt</v>
      </c>
      <c r="E422" s="57" t="str">
        <f>IFERROR(__xludf.DUMMYFUNCTION("""COMPUTED_VALUE"""),"56HGL03517")</f>
        <v>56HGL03517</v>
      </c>
      <c r="F422" s="46" t="str">
        <f>IFERROR(__xludf.DUMMYFUNCTION("""COMPUTED_VALUE"""),"KCN Đồng Văn I, Duy Tiên, Hà Nam")</f>
        <v>KCN Đồng Văn I, Duy Tiên, Hà Nam</v>
      </c>
      <c r="G422" s="46" t="str">
        <f>IFERROR(__xludf.DUMMYFUNCTION("""COMPUTED_VALUE"""),"Máy ko thể online, thi thoảng lỗi 22")</f>
        <v>Máy ko thể online, thi thoảng lỗi 22</v>
      </c>
      <c r="H422" s="46"/>
      <c r="I422" s="46"/>
      <c r="J422" s="46" t="str">
        <f>IFERROR(__xludf.DUMMYFUNCTION("""COMPUTED_VALUE"""),"Cấu hình lại ổ E và vệ sinh sensor tại Presentor")</f>
        <v>Cấu hình lại ổ E và vệ sinh sensor tại Presentor</v>
      </c>
      <c r="K422" s="46"/>
      <c r="L422" s="46"/>
      <c r="M422" s="46"/>
      <c r="N422" s="46"/>
      <c r="O422" s="46"/>
      <c r="P422" s="46"/>
      <c r="Q422" s="46" t="str">
        <f>IFERROR(__xludf.DUMMYFUNCTION("""COMPUTED_VALUE"""),"Hoàn thành")</f>
        <v>Hoàn thành</v>
      </c>
      <c r="R422" s="46"/>
      <c r="S422" s="46"/>
      <c r="T422" s="46"/>
      <c r="U422" s="46"/>
      <c r="V422" s="46"/>
      <c r="W422" s="46"/>
      <c r="X422" s="46"/>
      <c r="Y422" s="46"/>
      <c r="Z422" s="46"/>
      <c r="AA422" s="46"/>
    </row>
    <row r="423">
      <c r="A423" s="55">
        <f>IFERROR(__xludf.DUMMYFUNCTION("""COMPUTED_VALUE"""),44327.93473158564)</f>
        <v>44327.93473</v>
      </c>
      <c r="B423" s="56">
        <f>IFERROR(__xludf.DUMMYFUNCTION("""COMPUTED_VALUE"""),44327.0)</f>
        <v>44327</v>
      </c>
      <c r="C423" s="59" t="str">
        <f t="shared" si="3"/>
        <v/>
      </c>
      <c r="D423" s="46" t="str">
        <f>IFERROR(__xludf.DUMMYFUNCTION("""COMPUTED_VALUE"""),"thangnx")</f>
        <v>thangnx</v>
      </c>
      <c r="E423" s="57" t="str">
        <f>IFERROR(__xludf.DUMMYFUNCTION("""COMPUTED_VALUE"""),"5300381528")</f>
        <v>5300381528</v>
      </c>
      <c r="F423" s="46" t="str">
        <f>IFERROR(__xludf.DUMMYFUNCTION("""COMPUTED_VALUE"""),"Hợp Châu - Tam Đảo - Vĩnh Phúc")</f>
        <v>Hợp Châu - Tam Đảo - Vĩnh Phúc</v>
      </c>
      <c r="G423" s="46" t="str">
        <f>IFERROR(__xludf.DUMMYFUNCTION("""COMPUTED_VALUE"""),"Lỗi 2-3")</f>
        <v>Lỗi 2-3</v>
      </c>
      <c r="H423" s="46"/>
      <c r="I423" s="46"/>
      <c r="J423" s="46" t="str">
        <f>IFERROR(__xludf.DUMMYFUNCTION("""COMPUTED_VALUE"""),"Vệ sinh sensor bánh răng")</f>
        <v>Vệ sinh sensor bánh răng</v>
      </c>
      <c r="K423" s="46"/>
      <c r="L423" s="46"/>
      <c r="M423" s="46"/>
      <c r="N423" s="46"/>
      <c r="O423" s="46"/>
      <c r="P423" s="46"/>
      <c r="Q423" s="46" t="str">
        <f>IFERROR(__xludf.DUMMYFUNCTION("""COMPUTED_VALUE"""),"Hoàn thành")</f>
        <v>Hoàn thành</v>
      </c>
      <c r="R423" s="46"/>
      <c r="S423" s="46"/>
      <c r="T423" s="46"/>
      <c r="U423" s="46"/>
      <c r="V423" s="46"/>
      <c r="W423" s="46"/>
      <c r="X423" s="46"/>
      <c r="Y423" s="46"/>
      <c r="Z423" s="46"/>
      <c r="AA423" s="46"/>
    </row>
    <row r="424">
      <c r="A424" s="55">
        <f>IFERROR(__xludf.DUMMYFUNCTION("""COMPUTED_VALUE"""),44328.751569687505)</f>
        <v>44328.75157</v>
      </c>
      <c r="B424" s="56">
        <f>IFERROR(__xludf.DUMMYFUNCTION("""COMPUTED_VALUE"""),44328.0)</f>
        <v>44328</v>
      </c>
      <c r="C424" s="59" t="str">
        <f t="shared" si="3"/>
        <v/>
      </c>
      <c r="D424" s="46" t="str">
        <f>IFERROR(__xludf.DUMMYFUNCTION("""COMPUTED_VALUE"""),"Thuongd")</f>
        <v>Thuongd</v>
      </c>
      <c r="E424" s="57" t="str">
        <f>IFERROR(__xludf.DUMMYFUNCTION("""COMPUTED_VALUE"""),"5310180670")</f>
        <v>5310180670</v>
      </c>
      <c r="F424" s="46" t="str">
        <f>IFERROR(__xludf.DUMMYFUNCTION("""COMPUTED_VALUE"""),"Khối Nam Sơn, TT Kim Sơn, Huyện Quế Phong, Tỉnh Nghệ An")</f>
        <v>Khối Nam Sơn, TT Kim Sơn, Huyện Quế Phong, Tỉnh Nghệ An</v>
      </c>
      <c r="G424" s="46" t="str">
        <f>IFERROR(__xludf.DUMMYFUNCTION("""COMPUTED_VALUE"""),"Clamp")</f>
        <v>Clamp</v>
      </c>
      <c r="H424" s="46"/>
      <c r="I424" s="46"/>
      <c r="J424" s="46" t="str">
        <f>IFERROR(__xludf.DUMMYFUNCTION("""COMPUTED_VALUE"""),"Thay clamp")</f>
        <v>Thay clamp</v>
      </c>
      <c r="K424" s="46"/>
      <c r="L424" s="46"/>
      <c r="M424" s="46"/>
      <c r="N424" s="46"/>
      <c r="O424" s="46"/>
      <c r="P424" s="46"/>
      <c r="Q424" s="46" t="str">
        <f>IFERROR(__xludf.DUMMYFUNCTION("""COMPUTED_VALUE"""),"Hoàn thành")</f>
        <v>Hoàn thành</v>
      </c>
      <c r="R424" s="46"/>
      <c r="S424" s="46"/>
      <c r="T424" s="46"/>
      <c r="U424" s="46"/>
      <c r="V424" s="46"/>
      <c r="W424" s="46"/>
      <c r="X424" s="46"/>
      <c r="Y424" s="46"/>
      <c r="Z424" s="46"/>
      <c r="AA424" s="46"/>
    </row>
    <row r="425">
      <c r="A425" s="55">
        <f>IFERROR(__xludf.DUMMYFUNCTION("""COMPUTED_VALUE"""),44328.936476319446)</f>
        <v>44328.93648</v>
      </c>
      <c r="B425" s="56">
        <f>IFERROR(__xludf.DUMMYFUNCTION("""COMPUTED_VALUE"""),44328.0)</f>
        <v>44328</v>
      </c>
      <c r="C425" s="59" t="str">
        <f t="shared" si="3"/>
        <v/>
      </c>
      <c r="D425" s="46" t="str">
        <f>IFERROR(__xludf.DUMMYFUNCTION("""COMPUTED_VALUE"""),"thangnx")</f>
        <v>thangnx</v>
      </c>
      <c r="E425" s="57" t="str">
        <f>IFERROR(__xludf.DUMMYFUNCTION("""COMPUTED_VALUE"""),"56HGL03517")</f>
        <v>56HGL03517</v>
      </c>
      <c r="F425" s="46" t="str">
        <f>IFERROR(__xludf.DUMMYFUNCTION("""COMPUTED_VALUE"""),"KCN Đồng Văn I, Duy Tiên, Hà Nam")</f>
        <v>KCN Đồng Văn I, Duy Tiên, Hà Nam</v>
      </c>
      <c r="G425" s="46" t="str">
        <f>IFERROR(__xludf.DUMMYFUNCTION("""COMPUTED_VALUE"""),"Lỗi BPTT")</f>
        <v>Lỗi BPTT</v>
      </c>
      <c r="H425" s="46"/>
      <c r="I425" s="46"/>
      <c r="J425" s="46"/>
      <c r="K425" s="46" t="str">
        <f>IFERROR(__xludf.DUMMYFUNCTION("""COMPUTED_VALUE"""),"01 extractor")</f>
        <v>01 extractor</v>
      </c>
      <c r="L425" s="46"/>
      <c r="M425" s="46"/>
      <c r="N425" s="46"/>
      <c r="O425" s="46"/>
      <c r="P425" s="46"/>
      <c r="Q425" s="46" t="str">
        <f>IFERROR(__xludf.DUMMYFUNCTION("""COMPUTED_VALUE"""),"Hoàn thành")</f>
        <v>Hoàn thành</v>
      </c>
      <c r="R425" s="46"/>
      <c r="S425" s="46"/>
      <c r="T425" s="46"/>
      <c r="U425" s="46"/>
      <c r="V425" s="46"/>
      <c r="W425" s="46"/>
      <c r="X425" s="46"/>
      <c r="Y425" s="46"/>
      <c r="Z425" s="46"/>
      <c r="AA425" s="46"/>
    </row>
    <row r="426">
      <c r="A426" s="55">
        <f>IFERROR(__xludf.DUMMYFUNCTION("""COMPUTED_VALUE"""),44328.93705516204)</f>
        <v>44328.93706</v>
      </c>
      <c r="B426" s="56">
        <f>IFERROR(__xludf.DUMMYFUNCTION("""COMPUTED_VALUE"""),44328.0)</f>
        <v>44328</v>
      </c>
      <c r="C426" s="59" t="str">
        <f t="shared" si="3"/>
        <v/>
      </c>
      <c r="D426" s="46" t="str">
        <f>IFERROR(__xludf.DUMMYFUNCTION("""COMPUTED_VALUE"""),"thangnx")</f>
        <v>thangnx</v>
      </c>
      <c r="E426" s="57" t="str">
        <f>IFERROR(__xludf.DUMMYFUNCTION("""COMPUTED_VALUE"""),"5300381623")</f>
        <v>5300381623</v>
      </c>
      <c r="F426" s="46" t="str">
        <f>IFERROR(__xludf.DUMMYFUNCTION("""COMPUTED_VALUE"""),"NHNo Yên Khánh, H.Yên Khánh, Ninh Bình")</f>
        <v>NHNo Yên Khánh, H.Yên Khánh, Ninh Bình</v>
      </c>
      <c r="G426" s="46" t="str">
        <f>IFERROR(__xludf.DUMMYFUNCTION("""COMPUTED_VALUE"""),"Lỗi 1-8")</f>
        <v>Lỗi 1-8</v>
      </c>
      <c r="H426" s="46"/>
      <c r="I426" s="46"/>
      <c r="J426" s="46" t="str">
        <f>IFERROR(__xludf.DUMMYFUNCTION("""COMPUTED_VALUE"""),"Thay thế sensor tầng 200")</f>
        <v>Thay thế sensor tầng 200</v>
      </c>
      <c r="K426" s="46"/>
      <c r="L426" s="46"/>
      <c r="M426" s="46"/>
      <c r="N426" s="46"/>
      <c r="O426" s="46"/>
      <c r="P426" s="46"/>
      <c r="Q426" s="46" t="str">
        <f>IFERROR(__xludf.DUMMYFUNCTION("""COMPUTED_VALUE"""),"Hoàn thành")</f>
        <v>Hoàn thành</v>
      </c>
      <c r="R426" s="46"/>
      <c r="S426" s="46"/>
      <c r="T426" s="46"/>
      <c r="U426" s="46"/>
      <c r="V426" s="46"/>
      <c r="W426" s="46"/>
      <c r="X426" s="46"/>
      <c r="Y426" s="46"/>
      <c r="Z426" s="46"/>
      <c r="AA426" s="46"/>
    </row>
    <row r="427">
      <c r="A427" s="55">
        <f>IFERROR(__xludf.DUMMYFUNCTION("""COMPUTED_VALUE"""),44328.937748599536)</f>
        <v>44328.93775</v>
      </c>
      <c r="B427" s="56">
        <f>IFERROR(__xludf.DUMMYFUNCTION("""COMPUTED_VALUE"""),44328.0)</f>
        <v>44328</v>
      </c>
      <c r="C427" s="59" t="str">
        <f t="shared" si="3"/>
        <v/>
      </c>
      <c r="D427" s="46" t="str">
        <f>IFERROR(__xludf.DUMMYFUNCTION("""COMPUTED_VALUE"""),"thangnx")</f>
        <v>thangnx</v>
      </c>
      <c r="E427" s="57" t="str">
        <f>IFERROR(__xludf.DUMMYFUNCTION("""COMPUTED_VALUE"""),"5310107167")</f>
        <v>5310107167</v>
      </c>
      <c r="F427" s="46" t="str">
        <f>IFERROR(__xludf.DUMMYFUNCTION("""COMPUTED_VALUE"""),"Phố 1B thị trấn Yên Ninh, huyện Yên Khánh, Ninh Bình")</f>
        <v>Phố 1B thị trấn Yên Ninh, huyện Yên Khánh, Ninh Bình</v>
      </c>
      <c r="G427" s="46" t="str">
        <f>IFERROR(__xludf.DUMMYFUNCTION("""COMPUTED_VALUE"""),"Lỗi 1-8, 2-2")</f>
        <v>Lỗi 1-8, 2-2</v>
      </c>
      <c r="H427" s="46"/>
      <c r="I427" s="46"/>
      <c r="J427" s="46" t="str">
        <f>IFERROR(__xludf.DUMMYFUNCTION("""COMPUTED_VALUE"""),"thay thế sensor tầng 100")</f>
        <v>thay thế sensor tầng 100</v>
      </c>
      <c r="K427" s="46"/>
      <c r="L427" s="46"/>
      <c r="M427" s="46"/>
      <c r="N427" s="46"/>
      <c r="O427" s="46"/>
      <c r="P427" s="46"/>
      <c r="Q427" s="46" t="str">
        <f>IFERROR(__xludf.DUMMYFUNCTION("""COMPUTED_VALUE"""),"Hoàn thành")</f>
        <v>Hoàn thành</v>
      </c>
      <c r="R427" s="46"/>
      <c r="S427" s="46"/>
      <c r="T427" s="46"/>
      <c r="U427" s="46"/>
      <c r="V427" s="46"/>
      <c r="W427" s="46"/>
      <c r="X427" s="46"/>
      <c r="Y427" s="46"/>
      <c r="Z427" s="46"/>
      <c r="AA427" s="46"/>
    </row>
    <row r="428">
      <c r="A428" s="55">
        <f>IFERROR(__xludf.DUMMYFUNCTION("""COMPUTED_VALUE"""),44329.56824516204)</f>
        <v>44329.56825</v>
      </c>
      <c r="B428" s="56">
        <f>IFERROR(__xludf.DUMMYFUNCTION("""COMPUTED_VALUE"""),44329.0)</f>
        <v>44329</v>
      </c>
      <c r="C428" s="59" t="str">
        <f t="shared" si="3"/>
        <v/>
      </c>
      <c r="D428" s="46" t="str">
        <f>IFERROR(__xludf.DUMMYFUNCTION("""COMPUTED_VALUE"""),"Duclb")</f>
        <v>Duclb</v>
      </c>
      <c r="E428" s="57" t="str">
        <f>IFERROR(__xludf.DUMMYFUNCTION("""COMPUTED_VALUE"""),"5300380530")</f>
        <v>5300380530</v>
      </c>
      <c r="F428" s="46" t="str">
        <f>IFERROR(__xludf.DUMMYFUNCTION("""COMPUTED_VALUE"""),"Số 2 Láng Hạ - Q.Ba Đình - Hà Nội")</f>
        <v>Số 2 Láng Hạ - Q.Ba Đình - Hà Nội</v>
      </c>
      <c r="G428" s="46" t="str">
        <f>IFERROR(__xludf.DUMMYFUNCTION("""COMPUTED_VALUE"""),"Tiền loại nhiều")</f>
        <v>Tiền loại nhiều</v>
      </c>
      <c r="H428" s="46"/>
      <c r="I428" s="46"/>
      <c r="J428" s="46" t="str">
        <f>IFERROR(__xludf.DUMMYFUNCTION("""COMPUTED_VALUE"""),"Thay 01 trục đen, 01 trục gap, đổi gap c tầng 100K")</f>
        <v>Thay 01 trục đen, 01 trục gap, đổi gap c tầng 100K</v>
      </c>
      <c r="K428" s="46" t="str">
        <f>IFERROR(__xludf.DUMMYFUNCTION("""COMPUTED_VALUE"""),"01 trục đen")</f>
        <v>01 trục đen</v>
      </c>
      <c r="L428" s="46" t="str">
        <f>IFERROR(__xludf.DUMMYFUNCTION("""COMPUTED_VALUE"""),"01 trục gap")</f>
        <v>01 trục gap</v>
      </c>
      <c r="M428" s="46"/>
      <c r="N428" s="46"/>
      <c r="O428" s="46"/>
      <c r="P428" s="46"/>
      <c r="Q428" s="46" t="str">
        <f>IFERROR(__xludf.DUMMYFUNCTION("""COMPUTED_VALUE"""),"Hoàn thành")</f>
        <v>Hoàn thành</v>
      </c>
      <c r="R428" s="46"/>
      <c r="S428" s="46"/>
      <c r="T428" s="46"/>
      <c r="U428" s="46"/>
      <c r="V428" s="46"/>
      <c r="W428" s="46"/>
      <c r="X428" s="46"/>
      <c r="Y428" s="46"/>
      <c r="Z428" s="46"/>
      <c r="AA428" s="46"/>
    </row>
    <row r="429">
      <c r="A429" s="55">
        <f>IFERROR(__xludf.DUMMYFUNCTION("""COMPUTED_VALUE"""),44329.62896300926)</f>
        <v>44329.62896</v>
      </c>
      <c r="B429" s="56">
        <f>IFERROR(__xludf.DUMMYFUNCTION("""COMPUTED_VALUE"""),44329.0)</f>
        <v>44329</v>
      </c>
      <c r="C429" s="59" t="str">
        <f t="shared" si="3"/>
        <v/>
      </c>
      <c r="D429" s="46" t="str">
        <f>IFERROR(__xludf.DUMMYFUNCTION("""COMPUTED_VALUE"""),"Thuongd")</f>
        <v>Thuongd</v>
      </c>
      <c r="E429" s="57" t="str">
        <f>IFERROR(__xludf.DUMMYFUNCTION("""COMPUTED_VALUE"""),"56HGL00271")</f>
        <v>56HGL00271</v>
      </c>
      <c r="F429" s="46" t="str">
        <f>IFERROR(__xludf.DUMMYFUNCTION("""COMPUTED_VALUE"""),"96-98 Đào Duy Từ, tiểu khu 5, tt Tĩnh Gia, Thanh Hóa")</f>
        <v>96-98 Đào Duy Từ, tiểu khu 5, tt Tĩnh Gia, Thanh Hóa</v>
      </c>
      <c r="G429" s="46" t="str">
        <f>IFERROR(__xludf.DUMMYFUNCTION("""COMPUTED_VALUE"""),"Lỗi 7-3")</f>
        <v>Lỗi 7-3</v>
      </c>
      <c r="H429" s="46"/>
      <c r="I429" s="46"/>
      <c r="J429" s="46" t="str">
        <f>IFERROR(__xludf.DUMMYFUNCTION("""COMPUTED_VALUE"""),"Vệ sinh atm")</f>
        <v>Vệ sinh atm</v>
      </c>
      <c r="K429" s="46"/>
      <c r="L429" s="46"/>
      <c r="M429" s="46"/>
      <c r="N429" s="46"/>
      <c r="O429" s="46"/>
      <c r="P429" s="46"/>
      <c r="Q429" s="46" t="str">
        <f>IFERROR(__xludf.DUMMYFUNCTION("""COMPUTED_VALUE"""),"Hoàn thành")</f>
        <v>Hoàn thành</v>
      </c>
      <c r="R429" s="46"/>
      <c r="S429" s="46"/>
      <c r="T429" s="46"/>
      <c r="U429" s="46"/>
      <c r="V429" s="46"/>
      <c r="W429" s="46"/>
      <c r="X429" s="46"/>
      <c r="Y429" s="46"/>
      <c r="Z429" s="46"/>
      <c r="AA429" s="46"/>
    </row>
    <row r="430">
      <c r="A430" s="55">
        <f>IFERROR(__xludf.DUMMYFUNCTION("""COMPUTED_VALUE"""),44329.64994681713)</f>
        <v>44329.64995</v>
      </c>
      <c r="B430" s="56">
        <f>IFERROR(__xludf.DUMMYFUNCTION("""COMPUTED_VALUE"""),44329.0)</f>
        <v>44329</v>
      </c>
      <c r="C430" s="59" t="str">
        <f t="shared" si="3"/>
        <v/>
      </c>
      <c r="D430" s="46" t="str">
        <f>IFERROR(__xludf.DUMMYFUNCTION("""COMPUTED_VALUE"""),"Duclb")</f>
        <v>Duclb</v>
      </c>
      <c r="E430" s="57" t="str">
        <f>IFERROR(__xludf.DUMMYFUNCTION("""COMPUTED_VALUE"""),"5300380278")</f>
        <v>5300380278</v>
      </c>
      <c r="F430" s="46" t="str">
        <f>IFERROR(__xludf.DUMMYFUNCTION("""COMPUTED_VALUE"""),"PGD Đại học Nông Nghiệp 1- Trân Quỳ- Gia Lâm")</f>
        <v>PGD Đại học Nông Nghiệp 1- Trân Quỳ- Gia Lâm</v>
      </c>
      <c r="G430" s="46" t="str">
        <f>IFERROR(__xludf.DUMMYFUNCTION("""COMPUTED_VALUE"""),"Pc không lên")</f>
        <v>Pc không lên</v>
      </c>
      <c r="H430" s="46"/>
      <c r="I430" s="46"/>
      <c r="J430" s="46" t="str">
        <f>IFERROR(__xludf.DUMMYFUNCTION("""COMPUTED_VALUE"""),"Kiểm tra Pc")</f>
        <v>Kiểm tra Pc</v>
      </c>
      <c r="K430" s="46"/>
      <c r="L430" s="46"/>
      <c r="M430" s="46"/>
      <c r="N430" s="46"/>
      <c r="O430" s="46"/>
      <c r="P430" s="46" t="str">
        <f>IFERROR(__xludf.DUMMYFUNCTION("""COMPUTED_VALUE"""),"Máy bị tiền loại nhiều, đầu đọc thẻ lỗi, màn hình kém, khách hàng yêu cầu thay. ")</f>
        <v>Máy bị tiền loại nhiều, đầu đọc thẻ lỗi, màn hình kém, khách hàng yêu cầu thay. </v>
      </c>
      <c r="Q430" s="46" t="str">
        <f>IFERROR(__xludf.DUMMYFUNCTION("""COMPUTED_VALUE"""),"Hoàn thành")</f>
        <v>Hoàn thành</v>
      </c>
      <c r="R430" s="46"/>
      <c r="S430" s="46"/>
      <c r="T430" s="46"/>
      <c r="U430" s="46"/>
      <c r="V430" s="46"/>
      <c r="W430" s="46"/>
      <c r="X430" s="46"/>
      <c r="Y430" s="46"/>
      <c r="Z430" s="46"/>
      <c r="AA430" s="46"/>
    </row>
    <row r="431">
      <c r="A431" s="55">
        <f>IFERROR(__xludf.DUMMYFUNCTION("""COMPUTED_VALUE"""),44329.681730729164)</f>
        <v>44329.68173</v>
      </c>
      <c r="B431" s="56">
        <f>IFERROR(__xludf.DUMMYFUNCTION("""COMPUTED_VALUE"""),44329.0)</f>
        <v>44329</v>
      </c>
      <c r="C431" s="59" t="str">
        <f t="shared" si="3"/>
        <v/>
      </c>
      <c r="D431" s="46" t="str">
        <f>IFERROR(__xludf.DUMMYFUNCTION("""COMPUTED_VALUE"""),"Banny")</f>
        <v>Banny</v>
      </c>
      <c r="E431" s="57" t="str">
        <f>IFERROR(__xludf.DUMMYFUNCTION("""COMPUTED_VALUE"""),"5300380063")</f>
        <v>5300380063</v>
      </c>
      <c r="F431" s="46" t="str">
        <f>IFERROR(__xludf.DUMMYFUNCTION("""COMPUTED_VALUE"""),"Thị trấn Vương - Tiên Lữ - Hưng Yên")</f>
        <v>Thị trấn Vương - Tiên Lữ - Hưng Yên</v>
      </c>
      <c r="G431" s="46" t="str">
        <f>IFERROR(__xludf.DUMMYFUNCTION("""COMPUTED_VALUE"""),"Máy hay bị kẹt tiền")</f>
        <v>Máy hay bị kẹt tiền</v>
      </c>
      <c r="H431" s="46"/>
      <c r="I431" s="46"/>
      <c r="J431" s="46" t="str">
        <f>IFERROR(__xludf.DUMMYFUNCTION("""COMPUTED_VALUE"""),"Thay thế pre bị dão dây curoa")</f>
        <v>Thay thế pre bị dão dây curoa</v>
      </c>
      <c r="K431" s="46" t="str">
        <f>IFERROR(__xludf.DUMMYFUNCTION("""COMPUTED_VALUE"""),"01 presenter")</f>
        <v>01 presenter</v>
      </c>
      <c r="L431" s="46"/>
      <c r="M431" s="46"/>
      <c r="N431" s="46"/>
      <c r="O431" s="46"/>
      <c r="P431" s="46"/>
      <c r="Q431" s="46" t="str">
        <f>IFERROR(__xludf.DUMMYFUNCTION("""COMPUTED_VALUE"""),"Hoàn thành")</f>
        <v>Hoàn thành</v>
      </c>
      <c r="R431" s="46"/>
      <c r="S431" s="46"/>
      <c r="T431" s="46"/>
      <c r="U431" s="46"/>
      <c r="V431" s="46"/>
      <c r="W431" s="46"/>
      <c r="X431" s="46"/>
      <c r="Y431" s="46"/>
      <c r="Z431" s="46"/>
      <c r="AA431" s="46"/>
    </row>
    <row r="432">
      <c r="A432" s="55">
        <f>IFERROR(__xludf.DUMMYFUNCTION("""COMPUTED_VALUE"""),44329.70451915509)</f>
        <v>44329.70452</v>
      </c>
      <c r="B432" s="56">
        <f>IFERROR(__xludf.DUMMYFUNCTION("""COMPUTED_VALUE"""),44329.0)</f>
        <v>44329</v>
      </c>
      <c r="C432" s="59" t="str">
        <f t="shared" si="3"/>
        <v/>
      </c>
      <c r="D432" s="46" t="str">
        <f>IFERROR(__xludf.DUMMYFUNCTION("""COMPUTED_VALUE"""),"thangnx")</f>
        <v>thangnx</v>
      </c>
      <c r="E432" s="57" t="str">
        <f>IFERROR(__xludf.DUMMYFUNCTION("""COMPUTED_VALUE"""),"5300381701")</f>
        <v>5300381701</v>
      </c>
      <c r="F432" s="46" t="str">
        <f>IFERROR(__xludf.DUMMYFUNCTION("""COMPUTED_VALUE"""),"739 Lạc Long Quân, Tây Hồ, Hà Nội")</f>
        <v>739 Lạc Long Quân, Tây Hồ, Hà Nội</v>
      </c>
      <c r="G432" s="46" t="str">
        <f>IFERROR(__xludf.DUMMYFUNCTION("""COMPUTED_VALUE"""),"Máy hay mất kết nối")</f>
        <v>Máy hay mất kết nối</v>
      </c>
      <c r="H432" s="46"/>
      <c r="I432" s="46"/>
      <c r="J432" s="46" t="str">
        <f>IFERROR(__xludf.DUMMYFUNCTION("""COMPUTED_VALUE"""),"tắt card kguard")</f>
        <v>tắt card kguard</v>
      </c>
      <c r="K432" s="46"/>
      <c r="L432" s="46"/>
      <c r="M432" s="46"/>
      <c r="N432" s="46"/>
      <c r="O432" s="46"/>
      <c r="P432" s="46"/>
      <c r="Q432" s="46" t="str">
        <f>IFERROR(__xludf.DUMMYFUNCTION("""COMPUTED_VALUE"""),"Hoàn thành")</f>
        <v>Hoàn thành</v>
      </c>
      <c r="R432" s="46"/>
      <c r="S432" s="46"/>
      <c r="T432" s="46"/>
      <c r="U432" s="46"/>
      <c r="V432" s="46"/>
      <c r="W432" s="46"/>
      <c r="X432" s="46"/>
      <c r="Y432" s="46"/>
      <c r="Z432" s="46"/>
      <c r="AA432" s="46"/>
    </row>
    <row r="433">
      <c r="A433" s="55">
        <f>IFERROR(__xludf.DUMMYFUNCTION("""COMPUTED_VALUE"""),44329.70517314815)</f>
        <v>44329.70517</v>
      </c>
      <c r="B433" s="56">
        <f>IFERROR(__xludf.DUMMYFUNCTION("""COMPUTED_VALUE"""),44329.0)</f>
        <v>44329</v>
      </c>
      <c r="C433" s="59" t="str">
        <f t="shared" si="3"/>
        <v/>
      </c>
      <c r="D433" s="46" t="str">
        <f>IFERROR(__xludf.DUMMYFUNCTION("""COMPUTED_VALUE"""),"thangnx")</f>
        <v>thangnx</v>
      </c>
      <c r="E433" s="57" t="str">
        <f>IFERROR(__xludf.DUMMYFUNCTION("""COMPUTED_VALUE"""),"56HG806315")</f>
        <v>56HG806315</v>
      </c>
      <c r="F433" s="46" t="str">
        <f>IFERROR(__xludf.DUMMYFUNCTION("""COMPUTED_VALUE"""),"147 Xã Đàn, Đống Đa, Hà Nội")</f>
        <v>147 Xã Đàn, Đống Đa, Hà Nội</v>
      </c>
      <c r="G433" s="46" t="str">
        <f>IFERROR(__xludf.DUMMYFUNCTION("""COMPUTED_VALUE"""),"Bảo trì")</f>
        <v>Bảo trì</v>
      </c>
      <c r="H433" s="46"/>
      <c r="I433" s="46" t="str">
        <f>IFERROR(__xludf.DUMMYFUNCTION("""COMPUTED_VALUE"""),"Bảo trì")</f>
        <v>Bảo trì</v>
      </c>
      <c r="J433" s="46"/>
      <c r="K433" s="46"/>
      <c r="L433" s="46"/>
      <c r="M433" s="46"/>
      <c r="N433" s="46"/>
      <c r="O433" s="46"/>
      <c r="P433" s="46"/>
      <c r="Q433" s="46" t="str">
        <f>IFERROR(__xludf.DUMMYFUNCTION("""COMPUTED_VALUE"""),"Hoàn thành")</f>
        <v>Hoàn thành</v>
      </c>
      <c r="R433" s="46"/>
      <c r="S433" s="46"/>
      <c r="T433" s="46"/>
      <c r="U433" s="46"/>
      <c r="V433" s="46"/>
      <c r="W433" s="46"/>
      <c r="X433" s="46"/>
      <c r="Y433" s="46"/>
      <c r="Z433" s="46"/>
      <c r="AA433" s="46"/>
    </row>
    <row r="434">
      <c r="A434" s="55">
        <f>IFERROR(__xludf.DUMMYFUNCTION("""COMPUTED_VALUE"""),44329.80763613426)</f>
        <v>44329.80764</v>
      </c>
      <c r="B434" s="56">
        <f>IFERROR(__xludf.DUMMYFUNCTION("""COMPUTED_VALUE"""),44329.0)</f>
        <v>44329</v>
      </c>
      <c r="C434" s="59" t="str">
        <f t="shared" si="3"/>
        <v/>
      </c>
      <c r="D434" s="46" t="str">
        <f>IFERROR(__xludf.DUMMYFUNCTION("""COMPUTED_VALUE"""),"Hieppn")</f>
        <v>Hieppn</v>
      </c>
      <c r="E434" s="57" t="str">
        <f>IFERROR(__xludf.DUMMYFUNCTION("""COMPUTED_VALUE"""),"5310180790")</f>
        <v>5310180790</v>
      </c>
      <c r="F434" s="46" t="str">
        <f>IFERROR(__xludf.DUMMYFUNCTION("""COMPUTED_VALUE"""),"PGD Cầu Xe, thôn Hàm Hy, xã Cộng Lạc, huyện Tứ Kỳ")</f>
        <v>PGD Cầu Xe, thôn Hàm Hy, xã Cộng Lạc, huyện Tứ Kỳ</v>
      </c>
      <c r="G434" s="46" t="str">
        <f>IFERROR(__xludf.DUMMYFUNCTION("""COMPUTED_VALUE"""),"Bảo trì định kỳ")</f>
        <v>Bảo trì định kỳ</v>
      </c>
      <c r="H434" s="46"/>
      <c r="I434" s="46" t="str">
        <f>IFERROR(__xludf.DUMMYFUNCTION("""COMPUTED_VALUE"""),"Bảo trì")</f>
        <v>Bảo trì</v>
      </c>
      <c r="J434" s="46" t="str">
        <f>IFERROR(__xludf.DUMMYFUNCTION("""COMPUTED_VALUE"""),"Bảo trì định kỳ cho máy ATM")</f>
        <v>Bảo trì định kỳ cho máy ATM</v>
      </c>
      <c r="K434" s="46"/>
      <c r="L434" s="46"/>
      <c r="M434" s="46"/>
      <c r="N434" s="46"/>
      <c r="O434" s="46"/>
      <c r="P434" s="46"/>
      <c r="Q434" s="46" t="str">
        <f>IFERROR(__xludf.DUMMYFUNCTION("""COMPUTED_VALUE"""),"Hoàn thành")</f>
        <v>Hoàn thành</v>
      </c>
      <c r="R434" s="46"/>
      <c r="S434" s="46"/>
      <c r="T434" s="46"/>
      <c r="U434" s="46"/>
      <c r="V434" s="46"/>
      <c r="W434" s="46"/>
      <c r="X434" s="46"/>
      <c r="Y434" s="46"/>
      <c r="Z434" s="46"/>
      <c r="AA434" s="46"/>
    </row>
    <row r="435">
      <c r="A435" s="55">
        <f>IFERROR(__xludf.DUMMYFUNCTION("""COMPUTED_VALUE"""),44329.80965190972)</f>
        <v>44329.80965</v>
      </c>
      <c r="B435" s="56">
        <f>IFERROR(__xludf.DUMMYFUNCTION("""COMPUTED_VALUE"""),44329.0)</f>
        <v>44329</v>
      </c>
      <c r="C435" s="59" t="str">
        <f t="shared" si="3"/>
        <v/>
      </c>
      <c r="D435" s="46" t="str">
        <f>IFERROR(__xludf.DUMMYFUNCTION("""COMPUTED_VALUE"""),"Hieppn")</f>
        <v>Hieppn</v>
      </c>
      <c r="E435" s="57" t="str">
        <f>IFERROR(__xludf.DUMMYFUNCTION("""COMPUTED_VALUE"""),"5300380366")</f>
        <v>5300380366</v>
      </c>
      <c r="F435" s="46" t="str">
        <f>IFERROR(__xludf.DUMMYFUNCTION("""COMPUTED_VALUE"""),"Thị trấn Quỳnh Côi, H. Quỳnh Phụ, Thái Bình")</f>
        <v>Thị trấn Quỳnh Côi, H. Quỳnh Phụ, Thái Bình</v>
      </c>
      <c r="G435" s="46" t="str">
        <f>IFERROR(__xludf.DUMMYFUNCTION("""COMPUTED_VALUE"""),"Lỗi bộ trả tiền, kẹt tiền giữa 2 extractor và phần nhựa trong trên presentor")</f>
        <v>Lỗi bộ trả tiền, kẹt tiền giữa 2 extractor và phần nhựa trong trên presentor</v>
      </c>
      <c r="H435" s="46"/>
      <c r="I435" s="46"/>
      <c r="J435" s="46" t="str">
        <f>IFERROR(__xludf.DUMMYFUNCTION("""COMPUTED_VALUE"""),"Vệ sinh và thay thế")</f>
        <v>Vệ sinh và thay thế</v>
      </c>
      <c r="K435" s="46" t="str">
        <f>IFERROR(__xludf.DUMMYFUNCTION("""COMPUTED_VALUE"""),"04 dây curoa")</f>
        <v>04 dây curoa</v>
      </c>
      <c r="L435" s="46" t="str">
        <f>IFERROR(__xludf.DUMMYFUNCTION("""COMPUTED_VALUE"""),"01trục đỡ")</f>
        <v>01trục đỡ</v>
      </c>
      <c r="M435" s="46" t="str">
        <f>IFERROR(__xludf.DUMMYFUNCTION("""COMPUTED_VALUE"""),"01presentor ")</f>
        <v>01presentor </v>
      </c>
      <c r="N435" s="46"/>
      <c r="O435" s="46"/>
      <c r="P435" s="46"/>
      <c r="Q435" s="46" t="str">
        <f>IFERROR(__xludf.DUMMYFUNCTION("""COMPUTED_VALUE"""),"Hoàn thành")</f>
        <v>Hoàn thành</v>
      </c>
      <c r="R435" s="46"/>
      <c r="S435" s="46"/>
      <c r="T435" s="46"/>
      <c r="U435" s="46"/>
      <c r="V435" s="46"/>
      <c r="W435" s="46"/>
      <c r="X435" s="46"/>
      <c r="Y435" s="46"/>
      <c r="Z435" s="46"/>
      <c r="AA435" s="46"/>
    </row>
    <row r="436">
      <c r="A436" s="55">
        <f>IFERROR(__xludf.DUMMYFUNCTION("""COMPUTED_VALUE"""),44330.72199314815)</f>
        <v>44330.72199</v>
      </c>
      <c r="B436" s="56">
        <f>IFERROR(__xludf.DUMMYFUNCTION("""COMPUTED_VALUE"""),44330.0)</f>
        <v>44330</v>
      </c>
      <c r="C436" s="59" t="str">
        <f t="shared" si="3"/>
        <v/>
      </c>
      <c r="D436" s="46" t="str">
        <f>IFERROR(__xludf.DUMMYFUNCTION("""COMPUTED_VALUE"""),"Tuanva")</f>
        <v>Tuanva</v>
      </c>
      <c r="E436" s="57" t="str">
        <f>IFERROR(__xludf.DUMMYFUNCTION("""COMPUTED_VALUE"""),"5300378257")</f>
        <v>5300378257</v>
      </c>
      <c r="F436" s="46" t="str">
        <f>IFERROR(__xludf.DUMMYFUNCTION("""COMPUTED_VALUE"""),"Tổ Trung Tâm 1, Thị trấn Vĩnh Lộc, Chiêm Hóa")</f>
        <v>Tổ Trung Tâm 1, Thị trấn Vĩnh Lộc, Chiêm Hóa</v>
      </c>
      <c r="G436" s="46" t="str">
        <f>IFERROR(__xludf.DUMMYFUNCTION("""COMPUTED_VALUE"""),"Lỗi win")</f>
        <v>Lỗi win</v>
      </c>
      <c r="H436" s="46"/>
      <c r="I436" s="46"/>
      <c r="J436" s="46" t="str">
        <f>IFERROR(__xludf.DUMMYFUNCTION("""COMPUTED_VALUE"""),"Ghost lại máy")</f>
        <v>Ghost lại máy</v>
      </c>
      <c r="K436" s="46"/>
      <c r="L436" s="46"/>
      <c r="M436" s="46"/>
      <c r="N436" s="46"/>
      <c r="O436" s="46"/>
      <c r="P436" s="46" t="str">
        <f>IFERROR(__xludf.DUMMYFUNCTION("""COMPUTED_VALUE"""),"Máy đổi vị trí về xã hà lang,huyện chiêm hoá,tuyên quang")</f>
        <v>Máy đổi vị trí về xã hà lang,huyện chiêm hoá,tuyên quang</v>
      </c>
      <c r="Q436" s="46" t="str">
        <f>IFERROR(__xludf.DUMMYFUNCTION("""COMPUTED_VALUE"""),"Hoàn thành")</f>
        <v>Hoàn thành</v>
      </c>
      <c r="R436" s="46"/>
      <c r="S436" s="46"/>
      <c r="T436" s="46"/>
      <c r="U436" s="46"/>
      <c r="V436" s="46"/>
      <c r="W436" s="46"/>
      <c r="X436" s="46"/>
      <c r="Y436" s="46"/>
      <c r="Z436" s="46"/>
      <c r="AA436" s="46"/>
    </row>
    <row r="437">
      <c r="A437" s="55">
        <f>IFERROR(__xludf.DUMMYFUNCTION("""COMPUTED_VALUE"""),44330.776978009264)</f>
        <v>44330.77698</v>
      </c>
      <c r="B437" s="56">
        <f>IFERROR(__xludf.DUMMYFUNCTION("""COMPUTED_VALUE"""),44330.0)</f>
        <v>44330</v>
      </c>
      <c r="C437" s="59" t="str">
        <f t="shared" si="3"/>
        <v/>
      </c>
      <c r="D437" s="46" t="str">
        <f>IFERROR(__xludf.DUMMYFUNCTION("""COMPUTED_VALUE"""),"Duclb")</f>
        <v>Duclb</v>
      </c>
      <c r="E437" s="57" t="str">
        <f>IFERROR(__xludf.DUMMYFUNCTION("""COMPUTED_VALUE"""),"J821001603")</f>
        <v>J821001603</v>
      </c>
      <c r="F437" s="46" t="str">
        <f>IFERROR(__xludf.DUMMYFUNCTION("""COMPUTED_VALUE"""),"Đường Lam Sơn, P. Tích Sơn, TP. Vĩnh Yên, Tỉnh Vĩnh Phúc")</f>
        <v>Đường Lam Sơn, P. Tích Sơn, TP. Vĩnh Yên, Tỉnh Vĩnh Phúc</v>
      </c>
      <c r="G437" s="46" t="str">
        <f>IFERROR(__xludf.DUMMYFUNCTION("""COMPUTED_VALUE"""),"Pc không lên")</f>
        <v>Pc không lên</v>
      </c>
      <c r="H437" s="46"/>
      <c r="I437" s="46"/>
      <c r="J437" s="46" t="str">
        <f>IFERROR(__xludf.DUMMYFUNCTION("""COMPUTED_VALUE"""),"Cài đặt lại hệ điều hành")</f>
        <v>Cài đặt lại hệ điều hành</v>
      </c>
      <c r="K437" s="46"/>
      <c r="L437" s="46"/>
      <c r="M437" s="46"/>
      <c r="N437" s="46"/>
      <c r="O437" s="46"/>
      <c r="P437" s="46"/>
      <c r="Q437" s="46" t="str">
        <f>IFERROR(__xludf.DUMMYFUNCTION("""COMPUTED_VALUE"""),"Hoàn thành")</f>
        <v>Hoàn thành</v>
      </c>
      <c r="R437" s="46"/>
      <c r="S437" s="46"/>
      <c r="T437" s="46"/>
      <c r="U437" s="46"/>
      <c r="V437" s="46"/>
      <c r="W437" s="46"/>
      <c r="X437" s="46"/>
      <c r="Y437" s="46"/>
      <c r="Z437" s="46"/>
      <c r="AA437" s="46"/>
    </row>
    <row r="438">
      <c r="A438" s="55">
        <f>IFERROR(__xludf.DUMMYFUNCTION("""COMPUTED_VALUE"""),44331.488866053245)</f>
        <v>44331.48887</v>
      </c>
      <c r="B438" s="56">
        <f>IFERROR(__xludf.DUMMYFUNCTION("""COMPUTED_VALUE"""),44331.0)</f>
        <v>44331</v>
      </c>
      <c r="C438" s="59" t="str">
        <f t="shared" si="3"/>
        <v/>
      </c>
      <c r="D438" s="46" t="str">
        <f>IFERROR(__xludf.DUMMYFUNCTION("""COMPUTED_VALUE"""),"Duclb")</f>
        <v>Duclb</v>
      </c>
      <c r="E438" s="57" t="str">
        <f>IFERROR(__xludf.DUMMYFUNCTION("""COMPUTED_VALUE"""),"5310107028")</f>
        <v>5310107028</v>
      </c>
      <c r="F438" s="46" t="str">
        <f>IFERROR(__xludf.DUMMYFUNCTION("""COMPUTED_VALUE"""),"Số 43 đường Đinh Tiên Hoàng, TP. Yên Bái")</f>
        <v>Số 43 đường Đinh Tiên Hoàng, TP. Yên Bái</v>
      </c>
      <c r="G438" s="46" t="str">
        <f>IFERROR(__xludf.DUMMYFUNCTION("""COMPUTED_VALUE"""),"Lỗi 19")</f>
        <v>Lỗi 19</v>
      </c>
      <c r="H438" s="46"/>
      <c r="I438" s="46"/>
      <c r="J438" s="46" t="str">
        <f>IFERROR(__xludf.DUMMYFUNCTION("""COMPUTED_VALUE"""),"Thay 01 clamp")</f>
        <v>Thay 01 clamp</v>
      </c>
      <c r="K438" s="46" t="str">
        <f>IFERROR(__xludf.DUMMYFUNCTION("""COMPUTED_VALUE"""),"01 clamp")</f>
        <v>01 clamp</v>
      </c>
      <c r="L438" s="46"/>
      <c r="M438" s="46"/>
      <c r="N438" s="46"/>
      <c r="O438" s="46"/>
      <c r="P438" s="46"/>
      <c r="Q438" s="46" t="str">
        <f>IFERROR(__xludf.DUMMYFUNCTION("""COMPUTED_VALUE"""),"Hoàn thành")</f>
        <v>Hoàn thành</v>
      </c>
      <c r="R438" s="46"/>
      <c r="S438" s="46"/>
      <c r="T438" s="46"/>
      <c r="U438" s="46"/>
      <c r="V438" s="46"/>
      <c r="W438" s="46"/>
      <c r="X438" s="46"/>
      <c r="Y438" s="46"/>
      <c r="Z438" s="46"/>
      <c r="AA438" s="46"/>
    </row>
    <row r="439">
      <c r="A439" s="55">
        <f>IFERROR(__xludf.DUMMYFUNCTION("""COMPUTED_VALUE"""),44331.49127475695)</f>
        <v>44331.49127</v>
      </c>
      <c r="B439" s="56">
        <f>IFERROR(__xludf.DUMMYFUNCTION("""COMPUTED_VALUE"""),44327.0)</f>
        <v>44327</v>
      </c>
      <c r="C439" s="59" t="str">
        <f t="shared" si="3"/>
        <v>Báo cáo muộn</v>
      </c>
      <c r="D439" s="46" t="str">
        <f>IFERROR(__xludf.DUMMYFUNCTION("""COMPUTED_VALUE"""),"hoathv")</f>
        <v>hoathv</v>
      </c>
      <c r="E439" s="57" t="str">
        <f>IFERROR(__xludf.DUMMYFUNCTION("""COMPUTED_VALUE"""),"56HG805391")</f>
        <v>56HG805391</v>
      </c>
      <c r="F439" s="46" t="str">
        <f>IFERROR(__xludf.DUMMYFUNCTION("""COMPUTED_VALUE"""),"Chi nhánh Thanh Trì - Ban chỉ huy quân sự huyện Thường Tín")</f>
        <v>Chi nhánh Thanh Trì - Ban chỉ huy quân sự huyện Thường Tín</v>
      </c>
      <c r="G439" s="46" t="str">
        <f>IFERROR(__xludf.DUMMYFUNCTION("""COMPUTED_VALUE"""),"Lỗi BPTT")</f>
        <v>Lỗi BPTT</v>
      </c>
      <c r="H439" s="46"/>
      <c r="I439" s="46"/>
      <c r="J439" s="46"/>
      <c r="K439" s="46" t="str">
        <f>IFERROR(__xludf.DUMMYFUNCTION("""COMPUTED_VALUE"""),"02 côn điện")</f>
        <v>02 côn điện</v>
      </c>
      <c r="L439" s="46"/>
      <c r="M439" s="46"/>
      <c r="N439" s="46"/>
      <c r="O439" s="46"/>
      <c r="P439" s="46"/>
      <c r="Q439" s="46" t="str">
        <f>IFERROR(__xludf.DUMMYFUNCTION("""COMPUTED_VALUE"""),"Hoàn thành")</f>
        <v>Hoàn thành</v>
      </c>
      <c r="R439" s="46"/>
      <c r="S439" s="46"/>
      <c r="T439" s="46"/>
      <c r="U439" s="46"/>
      <c r="V439" s="46"/>
      <c r="W439" s="46"/>
      <c r="X439" s="46"/>
      <c r="Y439" s="46"/>
      <c r="Z439" s="46"/>
      <c r="AA439" s="46"/>
    </row>
    <row r="440">
      <c r="A440" s="55">
        <f>IFERROR(__xludf.DUMMYFUNCTION("""COMPUTED_VALUE"""),44331.4917525)</f>
        <v>44331.49175</v>
      </c>
      <c r="B440" s="56">
        <f>IFERROR(__xludf.DUMMYFUNCTION("""COMPUTED_VALUE"""),44328.0)</f>
        <v>44328</v>
      </c>
      <c r="C440" s="59" t="str">
        <f t="shared" si="3"/>
        <v>Báo cáo muộn</v>
      </c>
      <c r="D440" s="46" t="str">
        <f>IFERROR(__xludf.DUMMYFUNCTION("""COMPUTED_VALUE"""),"hoathv")</f>
        <v>hoathv</v>
      </c>
      <c r="E440" s="57" t="str">
        <f>IFERROR(__xludf.DUMMYFUNCTION("""COMPUTED_VALUE"""),"5300378276")</f>
        <v>5300378276</v>
      </c>
      <c r="F440" s="46" t="str">
        <f>IFERROR(__xludf.DUMMYFUNCTION("""COMPUTED_VALUE"""),"Số 2 Láng Hạ - Q.Ba Đình - Hà Nội")</f>
        <v>Số 2 Láng Hạ - Q.Ba Đình - Hà Nội</v>
      </c>
      <c r="G440" s="46" t="str">
        <f>IFERROR(__xludf.DUMMYFUNCTION("""COMPUTED_VALUE"""),"Lỗi BPTT")</f>
        <v>Lỗi BPTT</v>
      </c>
      <c r="H440" s="46"/>
      <c r="I440" s="46"/>
      <c r="J440" s="46"/>
      <c r="K440" s="46" t="str">
        <f>IFERROR(__xludf.DUMMYFUNCTION("""COMPUTED_VALUE"""),"01 miếng thép")</f>
        <v>01 miếng thép</v>
      </c>
      <c r="L440" s="46"/>
      <c r="M440" s="46"/>
      <c r="N440" s="46"/>
      <c r="O440" s="46"/>
      <c r="P440" s="46"/>
      <c r="Q440" s="46" t="str">
        <f>IFERROR(__xludf.DUMMYFUNCTION("""COMPUTED_VALUE"""),"Hoàn thành")</f>
        <v>Hoàn thành</v>
      </c>
      <c r="R440" s="46"/>
      <c r="S440" s="46"/>
      <c r="T440" s="46"/>
      <c r="U440" s="46"/>
      <c r="V440" s="46"/>
      <c r="W440" s="46"/>
      <c r="X440" s="46"/>
      <c r="Y440" s="46"/>
      <c r="Z440" s="46"/>
      <c r="AA440" s="46"/>
    </row>
    <row r="441">
      <c r="A441" s="55">
        <f>IFERROR(__xludf.DUMMYFUNCTION("""COMPUTED_VALUE"""),44331.49243054398)</f>
        <v>44331.49243</v>
      </c>
      <c r="B441" s="56">
        <f>IFERROR(__xludf.DUMMYFUNCTION("""COMPUTED_VALUE"""),44330.0)</f>
        <v>44330</v>
      </c>
      <c r="C441" s="59" t="str">
        <f t="shared" si="3"/>
        <v/>
      </c>
      <c r="D441" s="46" t="str">
        <f>IFERROR(__xludf.DUMMYFUNCTION("""COMPUTED_VALUE"""),"hoathv")</f>
        <v>hoathv</v>
      </c>
      <c r="E441" s="57" t="str">
        <f>IFERROR(__xludf.DUMMYFUNCTION("""COMPUTED_VALUE"""),"5300381785")</f>
        <v>5300381785</v>
      </c>
      <c r="F441" s="46" t="str">
        <f>IFERROR(__xludf.DUMMYFUNCTION("""COMPUTED_VALUE"""),"NHNo Gia Viễn, Thị trấn Me, Ninh Bình")</f>
        <v>NHNo Gia Viễn, Thị trấn Me, Ninh Bình</v>
      </c>
      <c r="G441" s="46" t="str">
        <f>IFERROR(__xludf.DUMMYFUNCTION("""COMPUTED_VALUE"""),"Lỗi BPTT")</f>
        <v>Lỗi BPTT</v>
      </c>
      <c r="H441" s="46"/>
      <c r="I441" s="46"/>
      <c r="J441" s="46"/>
      <c r="K441" s="46" t="str">
        <f>IFERROR(__xludf.DUMMYFUNCTION("""COMPUTED_VALUE"""),"01 côn điện")</f>
        <v>01 côn điện</v>
      </c>
      <c r="L441" s="46" t="str">
        <f>IFERROR(__xludf.DUMMYFUNCTION("""COMPUTED_VALUE"""),"02 trục cuốn")</f>
        <v>02 trục cuốn</v>
      </c>
      <c r="M441" s="46"/>
      <c r="N441" s="46"/>
      <c r="O441" s="46"/>
      <c r="P441" s="46"/>
      <c r="Q441" s="46" t="str">
        <f>IFERROR(__xludf.DUMMYFUNCTION("""COMPUTED_VALUE"""),"Hoàn thành")</f>
        <v>Hoàn thành</v>
      </c>
      <c r="R441" s="46"/>
      <c r="S441" s="46"/>
      <c r="T441" s="46"/>
      <c r="U441" s="46"/>
      <c r="V441" s="46"/>
      <c r="W441" s="46"/>
      <c r="X441" s="46"/>
      <c r="Y441" s="46"/>
      <c r="Z441" s="46"/>
      <c r="AA441" s="46"/>
    </row>
    <row r="442">
      <c r="A442" s="55">
        <f>IFERROR(__xludf.DUMMYFUNCTION("""COMPUTED_VALUE"""),44332.66817262732)</f>
        <v>44332.66817</v>
      </c>
      <c r="B442" s="56">
        <f>IFERROR(__xludf.DUMMYFUNCTION("""COMPUTED_VALUE"""),44331.0)</f>
        <v>44331</v>
      </c>
      <c r="C442" s="59" t="str">
        <f t="shared" si="3"/>
        <v/>
      </c>
      <c r="D442" s="46" t="str">
        <f>IFERROR(__xludf.DUMMYFUNCTION("""COMPUTED_VALUE"""),"Bannt")</f>
        <v>Bannt</v>
      </c>
      <c r="E442" s="57" t="str">
        <f>IFERROR(__xludf.DUMMYFUNCTION("""COMPUTED_VALUE"""),"5300378518")</f>
        <v>5300378518</v>
      </c>
      <c r="F442" s="46" t="str">
        <f>IFERROR(__xludf.DUMMYFUNCTION("""COMPUTED_VALUE"""),"479 Lương Ngọc Quyến, TP Thái Nguyên")</f>
        <v>479 Lương Ngọc Quyến, TP Thái Nguyên</v>
      </c>
      <c r="G442" s="46" t="str">
        <f>IFERROR(__xludf.DUMMYFUNCTION("""COMPUTED_VALUE"""),"Lỗi card mạng ")</f>
        <v>Lỗi card mạng </v>
      </c>
      <c r="H442" s="46"/>
      <c r="I442" s="46"/>
      <c r="J442" s="46" t="str">
        <f>IFERROR(__xludf.DUMMYFUNCTION("""COMPUTED_VALUE"""),"Thay thế main board máy PC, cấu hình lại ổ D")</f>
        <v>Thay thế main board máy PC, cấu hình lại ổ D</v>
      </c>
      <c r="K442" s="46"/>
      <c r="L442" s="46"/>
      <c r="M442" s="46"/>
      <c r="N442" s="46"/>
      <c r="O442" s="46"/>
      <c r="P442" s="46"/>
      <c r="Q442" s="46" t="str">
        <f>IFERROR(__xludf.DUMMYFUNCTION("""COMPUTED_VALUE"""),"Hoàn thành")</f>
        <v>Hoàn thành</v>
      </c>
      <c r="R442" s="46"/>
      <c r="S442" s="46"/>
      <c r="T442" s="46"/>
      <c r="U442" s="46"/>
      <c r="V442" s="46"/>
      <c r="W442" s="46"/>
      <c r="X442" s="46"/>
      <c r="Y442" s="46"/>
      <c r="Z442" s="46"/>
      <c r="AA442" s="46"/>
    </row>
    <row r="443">
      <c r="A443" s="55">
        <f>IFERROR(__xludf.DUMMYFUNCTION("""COMPUTED_VALUE"""),44333.44625390046)</f>
        <v>44333.44625</v>
      </c>
      <c r="B443" s="56">
        <f>IFERROR(__xludf.DUMMYFUNCTION("""COMPUTED_VALUE"""),44330.0)</f>
        <v>44330</v>
      </c>
      <c r="C443" s="59" t="str">
        <f t="shared" si="3"/>
        <v>Báo cáo muộn</v>
      </c>
      <c r="D443" s="46" t="str">
        <f>IFERROR(__xludf.DUMMYFUNCTION("""COMPUTED_VALUE"""),"Hieppn")</f>
        <v>Hieppn</v>
      </c>
      <c r="E443" s="57" t="str">
        <f>IFERROR(__xludf.DUMMYFUNCTION("""COMPUTED_VALUE"""),"5300380536")</f>
        <v>5300380536</v>
      </c>
      <c r="F443" s="46" t="str">
        <f>IFERROR(__xludf.DUMMYFUNCTION("""COMPUTED_VALUE"""),"PGD Khu Đông, xã Hùng Dũng, Hưng Hà, Thái Bình")</f>
        <v>PGD Khu Đông, xã Hùng Dũng, Hưng Hà, Thái Bình</v>
      </c>
      <c r="G443" s="46" t="str">
        <f>IFERROR(__xludf.DUMMYFUNCTION("""COMPUTED_VALUE"""),"Kẹt tiền ")</f>
        <v>Kẹt tiền </v>
      </c>
      <c r="H443" s="46"/>
      <c r="I443" s="46"/>
      <c r="J443" s="46" t="str">
        <f>IFERROR(__xludf.DUMMYFUNCTION("""COMPUTED_VALUE"""),"Kiểm tra và chốt lại phanh cho trục đỡ presentor, chỉnh ghép A cho khay 100")</f>
        <v>Kiểm tra và chốt lại phanh cho trục đỡ presentor, chỉnh ghép A cho khay 100</v>
      </c>
      <c r="K443" s="46"/>
      <c r="L443" s="46"/>
      <c r="M443" s="46"/>
      <c r="N443" s="46"/>
      <c r="O443" s="46"/>
      <c r="P443" s="46"/>
      <c r="Q443" s="46" t="str">
        <f>IFERROR(__xludf.DUMMYFUNCTION("""COMPUTED_VALUE"""),"Hoàn thành")</f>
        <v>Hoàn thành</v>
      </c>
      <c r="R443" s="46"/>
      <c r="S443" s="46"/>
      <c r="T443" s="46"/>
      <c r="U443" s="46"/>
      <c r="V443" s="46"/>
      <c r="W443" s="46"/>
      <c r="X443" s="46"/>
      <c r="Y443" s="46"/>
      <c r="Z443" s="46"/>
      <c r="AA443" s="46"/>
    </row>
    <row r="444">
      <c r="A444" s="55">
        <f>IFERROR(__xludf.DUMMYFUNCTION("""COMPUTED_VALUE"""),44333.608629525464)</f>
        <v>44333.60863</v>
      </c>
      <c r="B444" s="56">
        <f>IFERROR(__xludf.DUMMYFUNCTION("""COMPUTED_VALUE"""),44333.0)</f>
        <v>44333</v>
      </c>
      <c r="C444" s="59" t="str">
        <f t="shared" si="3"/>
        <v/>
      </c>
      <c r="D444" s="46" t="str">
        <f>IFERROR(__xludf.DUMMYFUNCTION("""COMPUTED_VALUE"""),"Tuanva")</f>
        <v>Tuanva</v>
      </c>
      <c r="E444" s="57" t="str">
        <f>IFERROR(__xludf.DUMMYFUNCTION("""COMPUTED_VALUE"""),"5300380642")</f>
        <v>5300380642</v>
      </c>
      <c r="F444" s="46" t="str">
        <f>IFERROR(__xludf.DUMMYFUNCTION("""COMPUTED_VALUE"""),"Thị trấn Lương Bằng - Kim Động - Hưng Yên")</f>
        <v>Thị trấn Lương Bằng - Kim Động - Hưng Yên</v>
      </c>
      <c r="G444" s="46" t="str">
        <f>IFERROR(__xludf.DUMMYFUNCTION("""COMPUTED_VALUE"""),"Máy không online")</f>
        <v>Máy không online</v>
      </c>
      <c r="H444" s="46"/>
      <c r="I444" s="46"/>
      <c r="J444" s="46" t="str">
        <f>IFERROR(__xludf.DUMMYFUNCTION("""COMPUTED_VALUE"""),"Thay thế card mạng")</f>
        <v>Thay thế card mạng</v>
      </c>
      <c r="K444" s="46" t="str">
        <f>IFERROR(__xludf.DUMMYFUNCTION("""COMPUTED_VALUE"""),"01 card mạng")</f>
        <v>01 card mạng</v>
      </c>
      <c r="L444" s="46" t="str">
        <f>IFERROR(__xludf.DUMMYFUNCTION("""COMPUTED_VALUE"""),"01 quạt chíp")</f>
        <v>01 quạt chíp</v>
      </c>
      <c r="M444" s="46" t="str">
        <f>IFERROR(__xludf.DUMMYFUNCTION("""COMPUTED_VALUE"""),"01 quạt nguồn pc")</f>
        <v>01 quạt nguồn pc</v>
      </c>
      <c r="N444" s="46"/>
      <c r="O444" s="46"/>
      <c r="P444" s="46"/>
      <c r="Q444" s="46" t="str">
        <f>IFERROR(__xludf.DUMMYFUNCTION("""COMPUTED_VALUE"""),"Hoàn thành")</f>
        <v>Hoàn thành</v>
      </c>
      <c r="R444" s="46"/>
      <c r="S444" s="46"/>
      <c r="T444" s="46"/>
      <c r="U444" s="46"/>
      <c r="V444" s="46"/>
      <c r="W444" s="46"/>
      <c r="X444" s="46"/>
      <c r="Y444" s="46"/>
      <c r="Z444" s="46"/>
      <c r="AA444" s="46"/>
    </row>
    <row r="445">
      <c r="A445" s="55">
        <f>IFERROR(__xludf.DUMMYFUNCTION("""COMPUTED_VALUE"""),44333.61815930555)</f>
        <v>44333.61816</v>
      </c>
      <c r="B445" s="56">
        <f>IFERROR(__xludf.DUMMYFUNCTION("""COMPUTED_VALUE"""),44333.0)</f>
        <v>44333</v>
      </c>
      <c r="C445" s="59" t="str">
        <f t="shared" si="3"/>
        <v/>
      </c>
      <c r="D445" s="46" t="str">
        <f>IFERROR(__xludf.DUMMYFUNCTION("""COMPUTED_VALUE"""),"Duclb")</f>
        <v>Duclb</v>
      </c>
      <c r="E445" s="57" t="str">
        <f>IFERROR(__xludf.DUMMYFUNCTION("""COMPUTED_VALUE"""),"56HG707969")</f>
        <v>56HG707969</v>
      </c>
      <c r="F445" s="46" t="str">
        <f>IFERROR(__xludf.DUMMYFUNCTION("""COMPUTED_VALUE"""),"Nhà ga hành khách T1, tại Tầng 1 sảnh Công cộng, Cảng Hàng không Quốc Tế Nội Bài, Sóc Sơn, Hà Nội")</f>
        <v>Nhà ga hành khách T1, tại Tầng 1 sảnh Công cộng, Cảng Hàng không Quốc Tế Nội Bài, Sóc Sơn, Hà Nội</v>
      </c>
      <c r="G445" s="46" t="str">
        <f>IFERROR(__xludf.DUMMYFUNCTION("""COMPUTED_VALUE"""),"Lỗi giao dịch fallback")</f>
        <v>Lỗi giao dịch fallback</v>
      </c>
      <c r="H445" s="46"/>
      <c r="I445" s="46"/>
      <c r="J445" s="46" t="str">
        <f>IFERROR(__xludf.DUMMYFUNCTION("""COMPUTED_VALUE"""),"Cài đặt lại hđh")</f>
        <v>Cài đặt lại hđh</v>
      </c>
      <c r="K445" s="46"/>
      <c r="L445" s="46"/>
      <c r="M445" s="46"/>
      <c r="N445" s="46"/>
      <c r="O445" s="46"/>
      <c r="P445" s="46"/>
      <c r="Q445" s="46" t="str">
        <f>IFERROR(__xludf.DUMMYFUNCTION("""COMPUTED_VALUE"""),"Hoàn thành")</f>
        <v>Hoàn thành</v>
      </c>
      <c r="R445" s="46"/>
      <c r="S445" s="46"/>
      <c r="T445" s="46"/>
      <c r="U445" s="46"/>
      <c r="V445" s="46"/>
      <c r="W445" s="46"/>
      <c r="X445" s="46"/>
      <c r="Y445" s="46"/>
      <c r="Z445" s="46"/>
      <c r="AA445" s="46"/>
    </row>
    <row r="446">
      <c r="A446" s="55">
        <f>IFERROR(__xludf.DUMMYFUNCTION("""COMPUTED_VALUE"""),44333.65803604167)</f>
        <v>44333.65804</v>
      </c>
      <c r="B446" s="56">
        <f>IFERROR(__xludf.DUMMYFUNCTION("""COMPUTED_VALUE"""),44333.0)</f>
        <v>44333</v>
      </c>
      <c r="C446" s="59" t="str">
        <f t="shared" si="3"/>
        <v/>
      </c>
      <c r="D446" s="46" t="str">
        <f>IFERROR(__xludf.DUMMYFUNCTION("""COMPUTED_VALUE"""),"Duclb")</f>
        <v>Duclb</v>
      </c>
      <c r="E446" s="57" t="str">
        <f>IFERROR(__xludf.DUMMYFUNCTION("""COMPUTED_VALUE"""),"5300380461")</f>
        <v>5300380461</v>
      </c>
      <c r="F446" s="46" t="str">
        <f>IFERROR(__xludf.DUMMYFUNCTION("""COMPUTED_VALUE"""),"Thị trấn Sóc Sơn, huyện Sóc Sơn")</f>
        <v>Thị trấn Sóc Sơn, huyện Sóc Sơn</v>
      </c>
      <c r="G446" s="46" t="str">
        <f>IFERROR(__xludf.DUMMYFUNCTION("""COMPUTED_VALUE"""),"Lỗi tầng 100k")</f>
        <v>Lỗi tầng 100k</v>
      </c>
      <c r="H446" s="46"/>
      <c r="I446" s="46"/>
      <c r="J446" s="46" t="str">
        <f>IFERROR(__xludf.DUMMYFUNCTION("""COMPUTED_VALUE"""),"Kiểm tra thấy trục đen tầng 100k đứt, thay 01 trục đen. Tuy nhiên lắp khay 100k vào shop vẫn báo miss. Đã load bo ngang, vs sensor ex nhưng không đc. Lắp tạm 100k lên tầng 50k cho máy chạy đủ 3 loại tiền. ")</f>
        <v>Kiểm tra thấy trục đen tầng 100k đứt, thay 01 trục đen. Tuy nhiên lắp khay 100k vào shop vẫn báo miss. Đã load bo ngang, vs sensor ex nhưng không đc. Lắp tạm 100k lên tầng 50k cho máy chạy đủ 3 loại tiền. </v>
      </c>
      <c r="K446" s="46" t="str">
        <f>IFERROR(__xludf.DUMMYFUNCTION("""COMPUTED_VALUE"""),"01 côn điện")</f>
        <v>01 côn điện</v>
      </c>
      <c r="L446" s="46" t="str">
        <f>IFERROR(__xludf.DUMMYFUNCTION("""COMPUTED_VALUE"""),"01 trục đen")</f>
        <v>01 trục đen</v>
      </c>
      <c r="M446" s="46"/>
      <c r="N446" s="46"/>
      <c r="O446" s="46"/>
      <c r="P446" s="46"/>
      <c r="Q446" s="46" t="str">
        <f>IFERROR(__xludf.DUMMYFUNCTION("""COMPUTED_VALUE"""),"Hoàn thành")</f>
        <v>Hoàn thành</v>
      </c>
      <c r="R446" s="46"/>
      <c r="S446" s="46"/>
      <c r="T446" s="46"/>
      <c r="U446" s="46"/>
      <c r="V446" s="46"/>
      <c r="W446" s="46"/>
      <c r="X446" s="46"/>
      <c r="Y446" s="46"/>
      <c r="Z446" s="46"/>
      <c r="AA446" s="46"/>
    </row>
    <row r="447">
      <c r="A447" s="55">
        <f>IFERROR(__xludf.DUMMYFUNCTION("""COMPUTED_VALUE"""),44334.329757569445)</f>
        <v>44334.32976</v>
      </c>
      <c r="B447" s="56">
        <f>IFERROR(__xludf.DUMMYFUNCTION("""COMPUTED_VALUE"""),44331.0)</f>
        <v>44331</v>
      </c>
      <c r="C447" s="59" t="str">
        <f t="shared" si="3"/>
        <v>Báo cáo muộn</v>
      </c>
      <c r="D447" s="46" t="str">
        <f>IFERROR(__xludf.DUMMYFUNCTION("""COMPUTED_VALUE"""),"Bannt")</f>
        <v>Bannt</v>
      </c>
      <c r="E447" s="57" t="str">
        <f>IFERROR(__xludf.DUMMYFUNCTION("""COMPUTED_VALUE"""),"5310182491")</f>
        <v>5310182491</v>
      </c>
      <c r="F447" s="46" t="str">
        <f>IFERROR(__xludf.DUMMYFUNCTION("""COMPUTED_VALUE"""),"Số 148 phố Lê Hoàn, TT Ngọc Lặc, huyện Ngọc Lặc, tỉnh Thanh Hóa")</f>
        <v>Số 148 phố Lê Hoàn, TT Ngọc Lặc, huyện Ngọc Lặc, tỉnh Thanh Hóa</v>
      </c>
      <c r="G447" s="46" t="str">
        <f>IFERROR(__xludf.DUMMYFUNCTION("""COMPUTED_VALUE"""),"Lỗi card mạng")</f>
        <v>Lỗi card mạng</v>
      </c>
      <c r="H447" s="46"/>
      <c r="I447" s="46"/>
      <c r="J447" s="46" t="str">
        <f>IFERROR(__xludf.DUMMYFUNCTION("""COMPUTED_VALUE"""),"Thay thế main board máy atm")</f>
        <v>Thay thế main board máy atm</v>
      </c>
      <c r="K447" s="46"/>
      <c r="L447" s="46"/>
      <c r="M447" s="46"/>
      <c r="N447" s="46"/>
      <c r="O447" s="46"/>
      <c r="P447" s="46"/>
      <c r="Q447" s="46" t="str">
        <f>IFERROR(__xludf.DUMMYFUNCTION("""COMPUTED_VALUE"""),"Hoàn thành")</f>
        <v>Hoàn thành</v>
      </c>
      <c r="R447" s="46"/>
      <c r="S447" s="46"/>
      <c r="T447" s="46"/>
      <c r="U447" s="46"/>
      <c r="V447" s="46"/>
      <c r="W447" s="46"/>
      <c r="X447" s="46"/>
      <c r="Y447" s="46"/>
      <c r="Z447" s="46"/>
      <c r="AA447" s="46"/>
    </row>
    <row r="448">
      <c r="A448" s="55">
        <f>IFERROR(__xludf.DUMMYFUNCTION("""COMPUTED_VALUE"""),44334.33053501157)</f>
        <v>44334.33054</v>
      </c>
      <c r="B448" s="56">
        <f>IFERROR(__xludf.DUMMYFUNCTION("""COMPUTED_VALUE"""),44333.0)</f>
        <v>44333</v>
      </c>
      <c r="C448" s="59" t="str">
        <f t="shared" si="3"/>
        <v/>
      </c>
      <c r="D448" s="46" t="str">
        <f>IFERROR(__xludf.DUMMYFUNCTION("""COMPUTED_VALUE"""),"Bannt")</f>
        <v>Bannt</v>
      </c>
      <c r="E448" s="57" t="str">
        <f>IFERROR(__xludf.DUMMYFUNCTION("""COMPUTED_VALUE"""),"5310107028")</f>
        <v>5310107028</v>
      </c>
      <c r="F448" s="46" t="str">
        <f>IFERROR(__xludf.DUMMYFUNCTION("""COMPUTED_VALUE"""),"Số 43 đường Đinh Tiên Hoàng, TP. Yên Bái")</f>
        <v>Số 43 đường Đinh Tiên Hoàng, TP. Yên Bái</v>
      </c>
      <c r="G448" s="46" t="str">
        <f>IFERROR(__xludf.DUMMYFUNCTION("""COMPUTED_VALUE"""),"Lỗi clamp")</f>
        <v>Lỗi clamp</v>
      </c>
      <c r="H448" s="46"/>
      <c r="I448" s="46"/>
      <c r="J448" s="46" t="str">
        <f>IFERROR(__xludf.DUMMYFUNCTION("""COMPUTED_VALUE"""),"Thay thế clamp")</f>
        <v>Thay thế clamp</v>
      </c>
      <c r="K448" s="46" t="str">
        <f>IFERROR(__xludf.DUMMYFUNCTION("""COMPUTED_VALUE"""),"01 clamp")</f>
        <v>01 clamp</v>
      </c>
      <c r="L448" s="46"/>
      <c r="M448" s="46"/>
      <c r="N448" s="46"/>
      <c r="O448" s="46"/>
      <c r="P448" s="46"/>
      <c r="Q448" s="46" t="str">
        <f>IFERROR(__xludf.DUMMYFUNCTION("""COMPUTED_VALUE"""),"Hoàn thành")</f>
        <v>Hoàn thành</v>
      </c>
      <c r="R448" s="46"/>
      <c r="S448" s="46"/>
      <c r="T448" s="46"/>
      <c r="U448" s="46"/>
      <c r="V448" s="46"/>
      <c r="W448" s="46"/>
      <c r="X448" s="46"/>
      <c r="Y448" s="46"/>
      <c r="Z448" s="46"/>
      <c r="AA448" s="46"/>
    </row>
    <row r="449">
      <c r="A449" s="55">
        <f>IFERROR(__xludf.DUMMYFUNCTION("""COMPUTED_VALUE"""),44334.4578037037)</f>
        <v>44334.4578</v>
      </c>
      <c r="B449" s="56">
        <f>IFERROR(__xludf.DUMMYFUNCTION("""COMPUTED_VALUE"""),44334.0)</f>
        <v>44334</v>
      </c>
      <c r="C449" s="59" t="str">
        <f t="shared" si="3"/>
        <v/>
      </c>
      <c r="D449" s="46" t="str">
        <f>IFERROR(__xludf.DUMMYFUNCTION("""COMPUTED_VALUE"""),"Tuanva")</f>
        <v>Tuanva</v>
      </c>
      <c r="E449" s="57" t="str">
        <f>IFERROR(__xludf.DUMMYFUNCTION("""COMPUTED_VALUE"""),"56HG707986")</f>
        <v>56HG707986</v>
      </c>
      <c r="F449" s="46" t="str">
        <f>IFERROR(__xludf.DUMMYFUNCTION("""COMPUTED_VALUE"""),"PGD Duy Tiên, Khu Công nghiệp Đồng Văn, TT Đồng Văn, Huyện Duy Tiên, Tỉnh Hà Nam")</f>
        <v>PGD Duy Tiên, Khu Công nghiệp Đồng Văn, TT Đồng Văn, Huyện Duy Tiên, Tỉnh Hà Nam</v>
      </c>
      <c r="G449" s="46" t="str">
        <f>IFERROR(__xludf.DUMMYFUNCTION("""COMPUTED_VALUE"""),"Lỗi máy in hoá đơn")</f>
        <v>Lỗi máy in hoá đơn</v>
      </c>
      <c r="H449" s="46"/>
      <c r="I449" s="46"/>
      <c r="J449" s="46" t="str">
        <f>IFERROR(__xludf.DUMMYFUNCTION("""COMPUTED_VALUE"""),"Thay thế 04 gioăng cao su máy in hoá đơn")</f>
        <v>Thay thế 04 gioăng cao su máy in hoá đơn</v>
      </c>
      <c r="K449" s="46"/>
      <c r="L449" s="46"/>
      <c r="M449" s="46"/>
      <c r="N449" s="46"/>
      <c r="O449" s="46"/>
      <c r="P449" s="46"/>
      <c r="Q449" s="46" t="str">
        <f>IFERROR(__xludf.DUMMYFUNCTION("""COMPUTED_VALUE"""),"Hoàn thành")</f>
        <v>Hoàn thành</v>
      </c>
      <c r="R449" s="46"/>
      <c r="S449" s="46"/>
      <c r="T449" s="46"/>
      <c r="U449" s="46"/>
      <c r="V449" s="46"/>
      <c r="W449" s="46"/>
      <c r="X449" s="46"/>
      <c r="Y449" s="46"/>
      <c r="Z449" s="46"/>
      <c r="AA449" s="46"/>
    </row>
    <row r="450">
      <c r="A450" s="55">
        <f>IFERROR(__xludf.DUMMYFUNCTION("""COMPUTED_VALUE"""),44334.47130140047)</f>
        <v>44334.4713</v>
      </c>
      <c r="B450" s="56">
        <f>IFERROR(__xludf.DUMMYFUNCTION("""COMPUTED_VALUE"""),44334.0)</f>
        <v>44334</v>
      </c>
      <c r="C450" s="59" t="str">
        <f t="shared" si="3"/>
        <v/>
      </c>
      <c r="D450" s="46" t="str">
        <f>IFERROR(__xludf.DUMMYFUNCTION("""COMPUTED_VALUE"""),"Bannt")</f>
        <v>Bannt</v>
      </c>
      <c r="E450" s="57" t="str">
        <f>IFERROR(__xludf.DUMMYFUNCTION("""COMPUTED_VALUE"""),"5300378007")</f>
        <v>5300378007</v>
      </c>
      <c r="F450" s="46" t="str">
        <f>IFERROR(__xludf.DUMMYFUNCTION("""COMPUTED_VALUE"""),"Khu 11 - Thị trấn Thanh Ba - H.Thanh Ba - Phú Thọ")</f>
        <v>Khu 11 - Thị trấn Thanh Ba - H.Thanh Ba - Phú Thọ</v>
      </c>
      <c r="G450" s="46" t="str">
        <f>IFERROR(__xludf.DUMMYFUNCTION("""COMPUTED_VALUE"""),"Lỗi 1.8 liên tục")</f>
        <v>Lỗi 1.8 liên tục</v>
      </c>
      <c r="H450" s="46"/>
      <c r="I450" s="46"/>
      <c r="J450" s="46" t="str">
        <f>IFERROR(__xludf.DUMMYFUNCTION("""COMPUTED_VALUE"""),"Bảo trì lại BPTT")</f>
        <v>Bảo trì lại BPTT</v>
      </c>
      <c r="K450" s="46"/>
      <c r="L450" s="46"/>
      <c r="M450" s="46"/>
      <c r="N450" s="46"/>
      <c r="O450" s="46"/>
      <c r="P450" s="46"/>
      <c r="Q450" s="46" t="str">
        <f>IFERROR(__xludf.DUMMYFUNCTION("""COMPUTED_VALUE"""),"Hoàn thành")</f>
        <v>Hoàn thành</v>
      </c>
      <c r="R450" s="46"/>
      <c r="S450" s="46"/>
      <c r="T450" s="46"/>
      <c r="U450" s="46"/>
      <c r="V450" s="46"/>
      <c r="W450" s="46"/>
      <c r="X450" s="46"/>
      <c r="Y450" s="46"/>
      <c r="Z450" s="46"/>
      <c r="AA450" s="46"/>
    </row>
    <row r="451">
      <c r="A451" s="55">
        <f>IFERROR(__xludf.DUMMYFUNCTION("""COMPUTED_VALUE"""),44334.55769342593)</f>
        <v>44334.55769</v>
      </c>
      <c r="B451" s="56">
        <f>IFERROR(__xludf.DUMMYFUNCTION("""COMPUTED_VALUE"""),44334.0)</f>
        <v>44334</v>
      </c>
      <c r="C451" s="59" t="str">
        <f t="shared" si="3"/>
        <v/>
      </c>
      <c r="D451" s="46" t="str">
        <f>IFERROR(__xludf.DUMMYFUNCTION("""COMPUTED_VALUE"""),"Duclb")</f>
        <v>Duclb</v>
      </c>
      <c r="E451" s="57" t="str">
        <f>IFERROR(__xludf.DUMMYFUNCTION("""COMPUTED_VALUE"""),"56HG707959")</f>
        <v>56HG707959</v>
      </c>
      <c r="F451" s="46" t="str">
        <f>IFERROR(__xludf.DUMMYFUNCTION("""COMPUTED_VALUE"""),"Nhà máy Z117, Đông Xuân, Sóc Sơn, Hà Nội")</f>
        <v>Nhà máy Z117, Đông Xuân, Sóc Sơn, Hà Nội</v>
      </c>
      <c r="G451" s="46" t="str">
        <f>IFERROR(__xludf.DUMMYFUNCTION("""COMPUTED_VALUE"""),"Lỗi tầng 10k")</f>
        <v>Lỗi tầng 10k</v>
      </c>
      <c r="H451" s="46"/>
      <c r="I451" s="46"/>
      <c r="J451" s="46" t="str">
        <f>IFERROR(__xludf.DUMMYFUNCTION("""COMPUTED_VALUE"""),"Thay 01 côn điện, 01 trục đỡ")</f>
        <v>Thay 01 côn điện, 01 trục đỡ</v>
      </c>
      <c r="K451" s="46" t="str">
        <f>IFERROR(__xludf.DUMMYFUNCTION("""COMPUTED_VALUE"""),"01 côn điện")</f>
        <v>01 côn điện</v>
      </c>
      <c r="L451" s="46" t="str">
        <f>IFERROR(__xludf.DUMMYFUNCTION("""COMPUTED_VALUE"""),"01 trục đỡ")</f>
        <v>01 trục đỡ</v>
      </c>
      <c r="M451" s="46"/>
      <c r="N451" s="46"/>
      <c r="O451" s="46"/>
      <c r="P451" s="46"/>
      <c r="Q451" s="46" t="str">
        <f>IFERROR(__xludf.DUMMYFUNCTION("""COMPUTED_VALUE"""),"Hoàn thành")</f>
        <v>Hoàn thành</v>
      </c>
      <c r="R451" s="46"/>
      <c r="S451" s="46"/>
      <c r="T451" s="46"/>
      <c r="U451" s="46"/>
      <c r="V451" s="46"/>
      <c r="W451" s="46"/>
      <c r="X451" s="46"/>
      <c r="Y451" s="46"/>
      <c r="Z451" s="46"/>
      <c r="AA451" s="46"/>
    </row>
    <row r="452">
      <c r="A452" s="55">
        <f>IFERROR(__xludf.DUMMYFUNCTION("""COMPUTED_VALUE"""),44334.62663918981)</f>
        <v>44334.62664</v>
      </c>
      <c r="B452" s="56">
        <f>IFERROR(__xludf.DUMMYFUNCTION("""COMPUTED_VALUE"""),44334.0)</f>
        <v>44334</v>
      </c>
      <c r="C452" s="59" t="str">
        <f t="shared" si="3"/>
        <v/>
      </c>
      <c r="D452" s="46" t="str">
        <f>IFERROR(__xludf.DUMMYFUNCTION("""COMPUTED_VALUE"""),"Tuanva")</f>
        <v>Tuanva</v>
      </c>
      <c r="E452" s="57" t="str">
        <f>IFERROR(__xludf.DUMMYFUNCTION("""COMPUTED_VALUE"""),"5300380536")</f>
        <v>5300380536</v>
      </c>
      <c r="F452" s="46" t="str">
        <f>IFERROR(__xludf.DUMMYFUNCTION("""COMPUTED_VALUE"""),"PGD Khu Đông, xã Hùng Dũng, Hưng Hà, Thái Bình")</f>
        <v>PGD Khu Đông, xã Hùng Dũng, Hưng Hà, Thái Bình</v>
      </c>
      <c r="G452" s="46" t="str">
        <f>IFERROR(__xludf.DUMMYFUNCTION("""COMPUTED_VALUE"""),"Lỗi bộ phận trả tiền")</f>
        <v>Lỗi bộ phận trả tiền</v>
      </c>
      <c r="H452" s="46"/>
      <c r="I452" s="46"/>
      <c r="J452" s="46" t="str">
        <f>IFERROR(__xludf.DUMMYFUNCTION("""COMPUTED_VALUE"""),"Cắt, cạo lại cáp kết nối ddu")</f>
        <v>Cắt, cạo lại cáp kết nối ddu</v>
      </c>
      <c r="K452" s="46"/>
      <c r="L452" s="46"/>
      <c r="M452" s="46"/>
      <c r="N452" s="46"/>
      <c r="O452" s="46"/>
      <c r="P452" s="46"/>
      <c r="Q452" s="46" t="str">
        <f>IFERROR(__xludf.DUMMYFUNCTION("""COMPUTED_VALUE"""),"Hoàn thành")</f>
        <v>Hoàn thành</v>
      </c>
      <c r="R452" s="46"/>
      <c r="S452" s="46"/>
      <c r="T452" s="46"/>
      <c r="U452" s="46"/>
      <c r="V452" s="46"/>
      <c r="W452" s="46"/>
      <c r="X452" s="46"/>
      <c r="Y452" s="46"/>
      <c r="Z452" s="46"/>
      <c r="AA452" s="46"/>
    </row>
    <row r="453">
      <c r="A453" s="55">
        <f>IFERROR(__xludf.DUMMYFUNCTION("""COMPUTED_VALUE"""),44335.43511293981)</f>
        <v>44335.43511</v>
      </c>
      <c r="B453" s="56">
        <f>IFERROR(__xludf.DUMMYFUNCTION("""COMPUTED_VALUE"""),44333.0)</f>
        <v>44333</v>
      </c>
      <c r="C453" s="59" t="str">
        <f t="shared" si="3"/>
        <v>Báo cáo muộn</v>
      </c>
      <c r="D453" s="46" t="str">
        <f>IFERROR(__xludf.DUMMYFUNCTION("""COMPUTED_VALUE"""),"Hieppn")</f>
        <v>Hieppn</v>
      </c>
      <c r="E453" s="57" t="str">
        <f>IFERROR(__xludf.DUMMYFUNCTION("""COMPUTED_VALUE"""),"5300381717")</f>
        <v>5300381717</v>
      </c>
      <c r="F453" s="46" t="str">
        <f>IFERROR(__xludf.DUMMYFUNCTION("""COMPUTED_VALUE"""),"Thị trấn Ngọc Lặc, Ngọc Lặc, Thanh Hóa")</f>
        <v>Thị trấn Ngọc Lặc, Ngọc Lặc, Thanh Hóa</v>
      </c>
      <c r="G453" s="46" t="str">
        <f>IFERROR(__xludf.DUMMYFUNCTION("""COMPUTED_VALUE"""),"Hay kẹt tiền tại khay 100 ")</f>
        <v>Hay kẹt tiền tại khay 100 </v>
      </c>
      <c r="H453" s="46"/>
      <c r="I453" s="46"/>
      <c r="J453" s="46" t="str">
        <f>IFERROR(__xludf.DUMMYFUNCTION("""COMPUTED_VALUE"""),"Kiểm tra và thay thế")</f>
        <v>Kiểm tra và thay thế</v>
      </c>
      <c r="K453" s="46" t="str">
        <f>IFERROR(__xludf.DUMMYFUNCTION("""COMPUTED_VALUE"""),"01 trục ghép ")</f>
        <v>01 trục ghép </v>
      </c>
      <c r="L453" s="46"/>
      <c r="M453" s="46"/>
      <c r="N453" s="46"/>
      <c r="O453" s="46"/>
      <c r="P453" s="46"/>
      <c r="Q453" s="46" t="str">
        <f>IFERROR(__xludf.DUMMYFUNCTION("""COMPUTED_VALUE"""),"Hoàn thành")</f>
        <v>Hoàn thành</v>
      </c>
      <c r="R453" s="46"/>
      <c r="S453" s="46"/>
      <c r="T453" s="46"/>
      <c r="U453" s="46"/>
      <c r="V453" s="46"/>
      <c r="W453" s="46"/>
      <c r="X453" s="46"/>
      <c r="Y453" s="46"/>
      <c r="Z453" s="46"/>
      <c r="AA453" s="46"/>
    </row>
    <row r="454">
      <c r="A454" s="55">
        <f>IFERROR(__xludf.DUMMYFUNCTION("""COMPUTED_VALUE"""),44335.43546368055)</f>
        <v>44335.43546</v>
      </c>
      <c r="B454" s="56">
        <f>IFERROR(__xludf.DUMMYFUNCTION("""COMPUTED_VALUE"""),44334.0)</f>
        <v>44334</v>
      </c>
      <c r="C454" s="59" t="str">
        <f t="shared" si="3"/>
        <v/>
      </c>
      <c r="D454" s="46" t="str">
        <f>IFERROR(__xludf.DUMMYFUNCTION("""COMPUTED_VALUE"""),"Hieppn")</f>
        <v>Hieppn</v>
      </c>
      <c r="E454" s="57" t="str">
        <f>IFERROR(__xludf.DUMMYFUNCTION("""COMPUTED_VALUE"""),"5300381741")</f>
        <v>5300381741</v>
      </c>
      <c r="F454" s="46" t="str">
        <f>IFERROR(__xludf.DUMMYFUNCTION("""COMPUTED_VALUE"""),"Thị trấn Còng, huyện Tĩnh Gia, Thanh Hóa")</f>
        <v>Thị trấn Còng, huyện Tĩnh Gia, Thanh Hóa</v>
      </c>
      <c r="G454" s="46" t="str">
        <f>IFERROR(__xludf.DUMMYFUNCTION("""COMPUTED_VALUE"""),"Lỗi 1-9")</f>
        <v>Lỗi 1-9</v>
      </c>
      <c r="H454" s="46"/>
      <c r="I454" s="46"/>
      <c r="J454" s="46" t="str">
        <f>IFERROR(__xludf.DUMMYFUNCTION("""COMPUTED_VALUE"""),"Thay thế ")</f>
        <v>Thay thế </v>
      </c>
      <c r="K454" s="46" t="str">
        <f>IFERROR(__xludf.DUMMYFUNCTION("""COMPUTED_VALUE"""),"01presentor ")</f>
        <v>01presentor </v>
      </c>
      <c r="L454" s="46"/>
      <c r="M454" s="46"/>
      <c r="N454" s="46"/>
      <c r="O454" s="46"/>
      <c r="P454" s="46"/>
      <c r="Q454" s="46" t="str">
        <f>IFERROR(__xludf.DUMMYFUNCTION("""COMPUTED_VALUE"""),"Hoàn thành")</f>
        <v>Hoàn thành</v>
      </c>
      <c r="R454" s="46"/>
      <c r="S454" s="46"/>
      <c r="T454" s="46"/>
      <c r="U454" s="46"/>
      <c r="V454" s="46"/>
      <c r="W454" s="46"/>
      <c r="X454" s="46"/>
      <c r="Y454" s="46"/>
      <c r="Z454" s="46"/>
      <c r="AA454" s="46"/>
    </row>
    <row r="455">
      <c r="A455" s="55">
        <f>IFERROR(__xludf.DUMMYFUNCTION("""COMPUTED_VALUE"""),44335.43833042824)</f>
        <v>44335.43833</v>
      </c>
      <c r="B455" s="56">
        <f>IFERROR(__xludf.DUMMYFUNCTION("""COMPUTED_VALUE"""),44335.0)</f>
        <v>44335</v>
      </c>
      <c r="C455" s="59" t="str">
        <f t="shared" si="3"/>
        <v/>
      </c>
      <c r="D455" s="46" t="str">
        <f>IFERROR(__xludf.DUMMYFUNCTION("""COMPUTED_VALUE"""),"Hieppn")</f>
        <v>Hieppn</v>
      </c>
      <c r="E455" s="57" t="str">
        <f>IFERROR(__xludf.DUMMYFUNCTION("""COMPUTED_VALUE"""),"5310181401")</f>
        <v>5310181401</v>
      </c>
      <c r="F455" s="46" t="str">
        <f>IFERROR(__xludf.DUMMYFUNCTION("""COMPUTED_VALUE"""),"Cổng nhà máy Giày Kim Việt, Thị trấn Nông Cống, Nông Cống, Thanh Hóa")</f>
        <v>Cổng nhà máy Giày Kim Việt, Thị trấn Nông Cống, Nông Cống, Thanh Hóa</v>
      </c>
      <c r="G455" s="46" t="str">
        <f>IFERROR(__xludf.DUMMYFUNCTION("""COMPUTED_VALUE"""),"Lỗi 2-8")</f>
        <v>Lỗi 2-8</v>
      </c>
      <c r="H455" s="46"/>
      <c r="I455" s="46"/>
      <c r="J455" s="46" t="str">
        <f>IFERROR(__xludf.DUMMYFUNCTION("""COMPUTED_VALUE"""),"Hàn dây và thay thế")</f>
        <v>Hàn dây và thay thế</v>
      </c>
      <c r="K455" s="46" t="str">
        <f>IFERROR(__xludf.DUMMYFUNCTION("""COMPUTED_VALUE"""),"01 shutter")</f>
        <v>01 shutter</v>
      </c>
      <c r="L455" s="46"/>
      <c r="M455" s="46"/>
      <c r="N455" s="46"/>
      <c r="O455" s="46"/>
      <c r="P455" s="46"/>
      <c r="Q455" s="46" t="str">
        <f>IFERROR(__xludf.DUMMYFUNCTION("""COMPUTED_VALUE"""),"Hoàn thành")</f>
        <v>Hoàn thành</v>
      </c>
      <c r="R455" s="46"/>
      <c r="S455" s="46"/>
      <c r="T455" s="46"/>
      <c r="U455" s="46"/>
      <c r="V455" s="46"/>
      <c r="W455" s="46"/>
      <c r="X455" s="46"/>
      <c r="Y455" s="46"/>
      <c r="Z455" s="46"/>
      <c r="AA455" s="46"/>
    </row>
    <row r="456">
      <c r="A456" s="55">
        <f>IFERROR(__xludf.DUMMYFUNCTION("""COMPUTED_VALUE"""),44335.48350966435)</f>
        <v>44335.48351</v>
      </c>
      <c r="B456" s="56">
        <f>IFERROR(__xludf.DUMMYFUNCTION("""COMPUTED_VALUE"""),44335.0)</f>
        <v>44335</v>
      </c>
      <c r="C456" s="59" t="str">
        <f t="shared" si="3"/>
        <v/>
      </c>
      <c r="D456" s="46" t="str">
        <f>IFERROR(__xludf.DUMMYFUNCTION("""COMPUTED_VALUE"""),"Duclb")</f>
        <v>Duclb</v>
      </c>
      <c r="E456" s="57" t="str">
        <f>IFERROR(__xludf.DUMMYFUNCTION("""COMPUTED_VALUE"""),"5300380063")</f>
        <v>5300380063</v>
      </c>
      <c r="F456" s="46" t="str">
        <f>IFERROR(__xludf.DUMMYFUNCTION("""COMPUTED_VALUE"""),"Thị trấn Vương - Tiên Lữ - Hưng Yên")</f>
        <v>Thị trấn Vương - Tiên Lữ - Hưng Yên</v>
      </c>
      <c r="G456" s="46" t="str">
        <f>IFERROR(__xludf.DUMMYFUNCTION("""COMPUTED_VALUE"""),"Lỗi 18")</f>
        <v>Lỗi 18</v>
      </c>
      <c r="H456" s="46"/>
      <c r="I456" s="46"/>
      <c r="J456" s="46"/>
      <c r="K456" s="46" t="str">
        <f>IFERROR(__xludf.DUMMYFUNCTION("""COMPUTED_VALUE"""),"01 clamp")</f>
        <v>01 clamp</v>
      </c>
      <c r="L456" s="46" t="str">
        <f>IFERROR(__xludf.DUMMYFUNCTION("""COMPUTED_VALUE"""),"01 trục đỡ")</f>
        <v>01 trục đỡ</v>
      </c>
      <c r="M456" s="46" t="str">
        <f>IFERROR(__xludf.DUMMYFUNCTION("""COMPUTED_VALUE"""),"01 trục quấn")</f>
        <v>01 trục quấn</v>
      </c>
      <c r="N456" s="46" t="str">
        <f>IFERROR(__xludf.DUMMYFUNCTION("""COMPUTED_VALUE"""),"01 trục đen")</f>
        <v>01 trục đen</v>
      </c>
      <c r="O456" s="46"/>
      <c r="P456" s="46"/>
      <c r="Q456" s="46" t="str">
        <f>IFERROR(__xludf.DUMMYFUNCTION("""COMPUTED_VALUE"""),"Hoàn thành")</f>
        <v>Hoàn thành</v>
      </c>
      <c r="R456" s="46"/>
      <c r="S456" s="46"/>
      <c r="T456" s="46"/>
      <c r="U456" s="46"/>
      <c r="V456" s="46"/>
      <c r="W456" s="46"/>
      <c r="X456" s="46"/>
      <c r="Y456" s="46"/>
      <c r="Z456" s="46"/>
      <c r="AA456" s="46"/>
    </row>
    <row r="457">
      <c r="A457" s="55">
        <f>IFERROR(__xludf.DUMMYFUNCTION("""COMPUTED_VALUE"""),44335.483933807875)</f>
        <v>44335.48393</v>
      </c>
      <c r="B457" s="56">
        <f>IFERROR(__xludf.DUMMYFUNCTION("""COMPUTED_VALUE"""),44335.0)</f>
        <v>44335</v>
      </c>
      <c r="C457" s="59" t="str">
        <f t="shared" si="3"/>
        <v/>
      </c>
      <c r="D457" s="46" t="str">
        <f>IFERROR(__xludf.DUMMYFUNCTION("""COMPUTED_VALUE"""),"Tuanva")</f>
        <v>Tuanva</v>
      </c>
      <c r="E457" s="57" t="str">
        <f>IFERROR(__xludf.DUMMYFUNCTION("""COMPUTED_VALUE"""),"5310182457")</f>
        <v>5310182457</v>
      </c>
      <c r="F457" s="46" t="str">
        <f>IFERROR(__xludf.DUMMYFUNCTION("""COMPUTED_VALUE"""),"Cổng chính A - Phòng ATM số 01 - KCN Thăng Long, huyện Đông Anh, TP Hà Nội")</f>
        <v>Cổng chính A - Phòng ATM số 01 - KCN Thăng Long, huyện Đông Anh, TP Hà Nội</v>
      </c>
      <c r="G457" s="46" t="str">
        <f>IFERROR(__xludf.DUMMYFUNCTION("""COMPUTED_VALUE"""),"Bộ phận trả tiền báo lỗi 2.5, máy in hoá đơn kẹt giấy")</f>
        <v>Bộ phận trả tiền báo lỗi 2.5, máy in hoá đơn kẹt giấy</v>
      </c>
      <c r="H457" s="46"/>
      <c r="I457" s="46" t="str">
        <f>IFERROR(__xludf.DUMMYFUNCTION("""COMPUTED_VALUE"""),"Bảo trì")</f>
        <v>Bảo trì</v>
      </c>
      <c r="J457" s="46" t="str">
        <f>IFERROR(__xludf.DUMMYFUNCTION("""COMPUTED_VALUE"""),"Gỡ tiền kẹt và giấy kẹt")</f>
        <v>Gỡ tiền kẹt và giấy kẹt</v>
      </c>
      <c r="K457" s="46"/>
      <c r="L457" s="46"/>
      <c r="M457" s="46"/>
      <c r="N457" s="46"/>
      <c r="O457" s="46"/>
      <c r="P457" s="46"/>
      <c r="Q457" s="46" t="str">
        <f>IFERROR(__xludf.DUMMYFUNCTION("""COMPUTED_VALUE"""),"Hoàn thành")</f>
        <v>Hoàn thành</v>
      </c>
      <c r="R457" s="46"/>
      <c r="S457" s="46"/>
      <c r="T457" s="46"/>
      <c r="U457" s="46"/>
      <c r="V457" s="46"/>
      <c r="W457" s="46"/>
      <c r="X457" s="46"/>
      <c r="Y457" s="46"/>
      <c r="Z457" s="46"/>
      <c r="AA457" s="46"/>
    </row>
    <row r="458">
      <c r="A458" s="55">
        <f>IFERROR(__xludf.DUMMYFUNCTION("""COMPUTED_VALUE"""),44335.484812951385)</f>
        <v>44335.48481</v>
      </c>
      <c r="B458" s="56">
        <f>IFERROR(__xludf.DUMMYFUNCTION("""COMPUTED_VALUE"""),44335.0)</f>
        <v>44335</v>
      </c>
      <c r="C458" s="59" t="str">
        <f t="shared" si="3"/>
        <v/>
      </c>
      <c r="D458" s="46" t="str">
        <f>IFERROR(__xludf.DUMMYFUNCTION("""COMPUTED_VALUE"""),"Tuanva")</f>
        <v>Tuanva</v>
      </c>
      <c r="E458" s="57" t="str">
        <f>IFERROR(__xludf.DUMMYFUNCTION("""COMPUTED_VALUE"""),"5310181601")</f>
        <v>5310181601</v>
      </c>
      <c r="F458" s="46" t="str">
        <f>IFERROR(__xludf.DUMMYFUNCTION("""COMPUTED_VALUE"""),"Cổng số 2 - Phòng ATM số 07 - KCN Thăng Long - huyện Đông Anh - tp Hà Nội")</f>
        <v>Cổng số 2 - Phòng ATM số 07 - KCN Thăng Long - huyện Đông Anh - tp Hà Nội</v>
      </c>
      <c r="G458" s="46" t="str">
        <f>IFERROR(__xludf.DUMMYFUNCTION("""COMPUTED_VALUE"""),"Bộ phận trả tiền báo lỗi 2.0")</f>
        <v>Bộ phận trả tiền báo lỗi 2.0</v>
      </c>
      <c r="H458" s="46"/>
      <c r="I458" s="46" t="str">
        <f>IFERROR(__xludf.DUMMYFUNCTION("""COMPUTED_VALUE"""),"Bảo trì")</f>
        <v>Bảo trì</v>
      </c>
      <c r="J458" s="46" t="str">
        <f>IFERROR(__xludf.DUMMYFUNCTION("""COMPUTED_VALUE"""),"Gỡ tiền kẹt,nắm lại miếng nhựa trong single")</f>
        <v>Gỡ tiền kẹt,nắm lại miếng nhựa trong single</v>
      </c>
      <c r="K458" s="46"/>
      <c r="L458" s="46"/>
      <c r="M458" s="46"/>
      <c r="N458" s="46"/>
      <c r="O458" s="46"/>
      <c r="P458" s="46"/>
      <c r="Q458" s="46" t="str">
        <f>IFERROR(__xludf.DUMMYFUNCTION("""COMPUTED_VALUE"""),"Hoàn thành")</f>
        <v>Hoàn thành</v>
      </c>
      <c r="R458" s="46"/>
      <c r="S458" s="46"/>
      <c r="T458" s="46"/>
      <c r="U458" s="46"/>
      <c r="V458" s="46"/>
      <c r="W458" s="46"/>
      <c r="X458" s="46"/>
      <c r="Y458" s="46"/>
      <c r="Z458" s="46"/>
      <c r="AA458" s="46"/>
    </row>
    <row r="459">
      <c r="A459" s="55">
        <f>IFERROR(__xludf.DUMMYFUNCTION("""COMPUTED_VALUE"""),44335.589378923614)</f>
        <v>44335.58938</v>
      </c>
      <c r="B459" s="56">
        <f>IFERROR(__xludf.DUMMYFUNCTION("""COMPUTED_VALUE"""),44335.0)</f>
        <v>44335</v>
      </c>
      <c r="C459" s="59" t="str">
        <f t="shared" si="3"/>
        <v/>
      </c>
      <c r="D459" s="46" t="str">
        <f>IFERROR(__xludf.DUMMYFUNCTION("""COMPUTED_VALUE"""),"Duclb")</f>
        <v>Duclb</v>
      </c>
      <c r="E459" s="57" t="str">
        <f>IFERROR(__xludf.DUMMYFUNCTION("""COMPUTED_VALUE"""),"5310105317")</f>
        <v>5310105317</v>
      </c>
      <c r="F459" s="46" t="str">
        <f>IFERROR(__xludf.DUMMYFUNCTION("""COMPUTED_VALUE"""),"Thôn Du La, xã Cẩm Chế, huyện Thanh Hà, Hải Dương")</f>
        <v>Thôn Du La, xã Cẩm Chế, huyện Thanh Hà, Hải Dương</v>
      </c>
      <c r="G459" s="46" t="str">
        <f>IFERROR(__xludf.DUMMYFUNCTION("""COMPUTED_VALUE"""),"Hay kẹt tiền")</f>
        <v>Hay kẹt tiền</v>
      </c>
      <c r="H459" s="46"/>
      <c r="I459" s="46"/>
      <c r="J459" s="46" t="str">
        <f>IFERROR(__xludf.DUMMYFUNCTION("""COMPUTED_VALUE"""),"Vệ sinh trục pick")</f>
        <v>Vệ sinh trục pick</v>
      </c>
      <c r="K459" s="46"/>
      <c r="L459" s="46"/>
      <c r="M459" s="46"/>
      <c r="N459" s="46"/>
      <c r="O459" s="46"/>
      <c r="P459" s="46"/>
      <c r="Q459" s="46" t="str">
        <f>IFERROR(__xludf.DUMMYFUNCTION("""COMPUTED_VALUE"""),"Hoàn thành")</f>
        <v>Hoàn thành</v>
      </c>
      <c r="R459" s="46"/>
      <c r="S459" s="46"/>
      <c r="T459" s="46"/>
      <c r="U459" s="46"/>
      <c r="V459" s="46"/>
      <c r="W459" s="46"/>
      <c r="X459" s="46"/>
      <c r="Y459" s="46"/>
      <c r="Z459" s="46"/>
      <c r="AA459" s="46"/>
    </row>
    <row r="460">
      <c r="A460" s="55">
        <f>IFERROR(__xludf.DUMMYFUNCTION("""COMPUTED_VALUE"""),44335.91688655093)</f>
        <v>44335.91689</v>
      </c>
      <c r="B460" s="56">
        <f>IFERROR(__xludf.DUMMYFUNCTION("""COMPUTED_VALUE"""),44334.0)</f>
        <v>44334</v>
      </c>
      <c r="C460" s="59" t="str">
        <f t="shared" si="3"/>
        <v/>
      </c>
      <c r="D460" s="46" t="str">
        <f>IFERROR(__xludf.DUMMYFUNCTION("""COMPUTED_VALUE"""),"tienvm")</f>
        <v>tienvm</v>
      </c>
      <c r="E460" s="57" t="str">
        <f>IFERROR(__xludf.DUMMYFUNCTION("""COMPUTED_VALUE"""),"J821006589")</f>
        <v>J821006589</v>
      </c>
      <c r="F460" s="46" t="str">
        <f>IFERROR(__xludf.DUMMYFUNCTION("""COMPUTED_VALUE"""),"Văn phòng chủ tịch nước - Số 1A, ngõ 1B Hoàng Hoa Thám, Phường Ngọc Hà, Quận Ba Đình, Hà Nội")</f>
        <v>Văn phòng chủ tịch nước - Số 1A, ngõ 1B Hoàng Hoa Thám, Phường Ngọc Hà, Quận Ba Đình, Hà Nội</v>
      </c>
      <c r="G460" s="46" t="str">
        <f>IFERROR(__xludf.DUMMYFUNCTION("""COMPUTED_VALUE"""),"Hỗ trợ đổi mã két")</f>
        <v>Hỗ trợ đổi mã két</v>
      </c>
      <c r="H460" s="46"/>
      <c r="I460" s="46"/>
      <c r="J460" s="46" t="str">
        <f>IFERROR(__xludf.DUMMYFUNCTION("""COMPUTED_VALUE"""),"Hỗ trợ KH đổi mã két")</f>
        <v>Hỗ trợ KH đổi mã két</v>
      </c>
      <c r="K460" s="46"/>
      <c r="L460" s="46"/>
      <c r="M460" s="46"/>
      <c r="N460" s="46"/>
      <c r="O460" s="46"/>
      <c r="P460" s="46"/>
      <c r="Q460" s="46" t="str">
        <f>IFERROR(__xludf.DUMMYFUNCTION("""COMPUTED_VALUE"""),"Hoàn thành")</f>
        <v>Hoàn thành</v>
      </c>
      <c r="R460" s="46"/>
      <c r="S460" s="46"/>
      <c r="T460" s="46"/>
      <c r="U460" s="46"/>
      <c r="V460" s="46"/>
      <c r="W460" s="46"/>
      <c r="X460" s="46"/>
      <c r="Y460" s="46"/>
      <c r="Z460" s="46"/>
      <c r="AA460" s="46"/>
    </row>
    <row r="461">
      <c r="A461" s="55">
        <f>IFERROR(__xludf.DUMMYFUNCTION("""COMPUTED_VALUE"""),44335.91799394676)</f>
        <v>44335.91799</v>
      </c>
      <c r="B461" s="56">
        <f>IFERROR(__xludf.DUMMYFUNCTION("""COMPUTED_VALUE"""),44335.0)</f>
        <v>44335</v>
      </c>
      <c r="C461" s="59" t="str">
        <f t="shared" si="3"/>
        <v/>
      </c>
      <c r="D461" s="46" t="str">
        <f>IFERROR(__xludf.DUMMYFUNCTION("""COMPUTED_VALUE"""),"tienvm")</f>
        <v>tienvm</v>
      </c>
      <c r="E461" s="57" t="str">
        <f>IFERROR(__xludf.DUMMYFUNCTION("""COMPUTED_VALUE"""),"J821006594")</f>
        <v>J821006594</v>
      </c>
      <c r="F461" s="46" t="str">
        <f>IFERROR(__xludf.DUMMYFUNCTION("""COMPUTED_VALUE"""),"Kho Hà Nội")</f>
        <v>Kho Hà Nội</v>
      </c>
      <c r="G461" s="46" t="str">
        <f>IFERROR(__xludf.DUMMYFUNCTION("""COMPUTED_VALUE"""),"Lỗi đầu đọc thẻ, BPTT")</f>
        <v>Lỗi đầu đọc thẻ, BPTT</v>
      </c>
      <c r="H461" s="46"/>
      <c r="I461" s="46"/>
      <c r="J461" s="46" t="str">
        <f>IFERROR(__xludf.DUMMYFUNCTION("""COMPUTED_VALUE"""),"Tháo đầu đọc thẻ kiểm tra, có 2 dây chun buộc bị nhét vào trong. Tháo gỡ và clear, test lại. BPTT bình thường. Sau khi xử lý đã thử và theo dõi giao dịch.")</f>
        <v>Tháo đầu đọc thẻ kiểm tra, có 2 dây chun buộc bị nhét vào trong. Tháo gỡ và clear, test lại. BPTT bình thường. Sau khi xử lý đã thử và theo dõi giao dịch.</v>
      </c>
      <c r="K461" s="46"/>
      <c r="L461" s="46"/>
      <c r="M461" s="46"/>
      <c r="N461" s="46"/>
      <c r="O461" s="46"/>
      <c r="P461" s="46"/>
      <c r="Q461" s="46" t="str">
        <f>IFERROR(__xludf.DUMMYFUNCTION("""COMPUTED_VALUE"""),"Hoàn thành")</f>
        <v>Hoàn thành</v>
      </c>
      <c r="R461" s="46"/>
      <c r="S461" s="46"/>
      <c r="T461" s="46"/>
      <c r="U461" s="46"/>
      <c r="V461" s="46"/>
      <c r="W461" s="46"/>
      <c r="X461" s="46"/>
      <c r="Y461" s="46"/>
      <c r="Z461" s="46"/>
      <c r="AA461" s="46"/>
    </row>
    <row r="462">
      <c r="A462" s="55">
        <f>IFERROR(__xludf.DUMMYFUNCTION("""COMPUTED_VALUE"""),44336.352225891205)</f>
        <v>44336.35223</v>
      </c>
      <c r="B462" s="56">
        <f>IFERROR(__xludf.DUMMYFUNCTION("""COMPUTED_VALUE"""),44335.0)</f>
        <v>44335</v>
      </c>
      <c r="C462" s="59" t="str">
        <f t="shared" si="3"/>
        <v/>
      </c>
      <c r="D462" s="46" t="str">
        <f>IFERROR(__xludf.DUMMYFUNCTION("""COMPUTED_VALUE"""),"Tuanva")</f>
        <v>Tuanva</v>
      </c>
      <c r="E462" s="57" t="str">
        <f>IFERROR(__xludf.DUMMYFUNCTION("""COMPUTED_VALUE"""),"5300380757")</f>
        <v>5300380757</v>
      </c>
      <c r="F462" s="46" t="str">
        <f>IFERROR(__xludf.DUMMYFUNCTION("""COMPUTED_VALUE"""),"PGD Chèm, Đường Đông Ngạc, xã Đông Ngạc, Từ Liêm")</f>
        <v>PGD Chèm, Đường Đông Ngạc, xã Đông Ngạc, Từ Liêm</v>
      </c>
      <c r="G462" s="46" t="str">
        <f>IFERROR(__xludf.DUMMYFUNCTION("""COMPUTED_VALUE"""),"Bao tri dinh ky")</f>
        <v>Bao tri dinh ky</v>
      </c>
      <c r="H462" s="46"/>
      <c r="I462" s="46" t="str">
        <f>IFERROR(__xludf.DUMMYFUNCTION("""COMPUTED_VALUE"""),"Bảo trì")</f>
        <v>Bảo trì</v>
      </c>
      <c r="J462" s="46"/>
      <c r="K462" s="46"/>
      <c r="L462" s="46"/>
      <c r="M462" s="46"/>
      <c r="N462" s="46"/>
      <c r="O462" s="46"/>
      <c r="P462" s="46"/>
      <c r="Q462" s="46" t="str">
        <f>IFERROR(__xludf.DUMMYFUNCTION("""COMPUTED_VALUE"""),"Hoàn thành")</f>
        <v>Hoàn thành</v>
      </c>
      <c r="R462" s="46"/>
      <c r="S462" s="46"/>
      <c r="T462" s="46"/>
      <c r="U462" s="46"/>
      <c r="V462" s="46"/>
      <c r="W462" s="46"/>
      <c r="X462" s="46"/>
      <c r="Y462" s="46"/>
      <c r="Z462" s="46"/>
      <c r="AA462" s="46"/>
    </row>
    <row r="463">
      <c r="A463" s="55">
        <f>IFERROR(__xludf.DUMMYFUNCTION("""COMPUTED_VALUE"""),44336.45607701389)</f>
        <v>44336.45608</v>
      </c>
      <c r="B463" s="56">
        <f>IFERROR(__xludf.DUMMYFUNCTION("""COMPUTED_VALUE"""),44336.0)</f>
        <v>44336</v>
      </c>
      <c r="C463" s="59" t="str">
        <f t="shared" si="3"/>
        <v/>
      </c>
      <c r="D463" s="46" t="str">
        <f>IFERROR(__xludf.DUMMYFUNCTION("""COMPUTED_VALUE"""),"Tuanva")</f>
        <v>Tuanva</v>
      </c>
      <c r="E463" s="57" t="str">
        <f>IFERROR(__xludf.DUMMYFUNCTION("""COMPUTED_VALUE"""),"5310181101")</f>
        <v>5310181101</v>
      </c>
      <c r="F463" s="46" t="str">
        <f>IFERROR(__xludf.DUMMYFUNCTION("""COMPUTED_VALUE"""),"Xã Trung Hội, huyện Định Hóa, tỉnh Thái Nguyên")</f>
        <v>Xã Trung Hội, huyện Định Hóa, tỉnh Thái Nguyên</v>
      </c>
      <c r="G463" s="46" t="str">
        <f>IFERROR(__xludf.DUMMYFUNCTION("""COMPUTED_VALUE"""),"Lỗi không rút được khay 200k")</f>
        <v>Lỗi không rút được khay 200k</v>
      </c>
      <c r="H463" s="46"/>
      <c r="I463" s="46" t="str">
        <f>IFERROR(__xludf.DUMMYFUNCTION("""COMPUTED_VALUE"""),"Bảo trì")</f>
        <v>Bảo trì</v>
      </c>
      <c r="J463" s="46" t="str">
        <f>IFERROR(__xludf.DUMMYFUNCTION("""COMPUTED_VALUE"""),"Đổi trục pick từ 50k xuống 200k")</f>
        <v>Đổi trục pick từ 50k xuống 200k</v>
      </c>
      <c r="K463" s="46"/>
      <c r="L463" s="46"/>
      <c r="M463" s="46"/>
      <c r="N463" s="46"/>
      <c r="O463" s="46"/>
      <c r="P463" s="46"/>
      <c r="Q463" s="46" t="str">
        <f>IFERROR(__xludf.DUMMYFUNCTION("""COMPUTED_VALUE"""),"Hoàn thành")</f>
        <v>Hoàn thành</v>
      </c>
      <c r="R463" s="46"/>
      <c r="S463" s="46"/>
      <c r="T463" s="46"/>
      <c r="U463" s="46"/>
      <c r="V463" s="46"/>
      <c r="W463" s="46"/>
      <c r="X463" s="46"/>
      <c r="Y463" s="46"/>
      <c r="Z463" s="46"/>
      <c r="AA463" s="46"/>
    </row>
    <row r="464">
      <c r="A464" s="55">
        <f>IFERROR(__xludf.DUMMYFUNCTION("""COMPUTED_VALUE"""),44336.46276778935)</f>
        <v>44336.46277</v>
      </c>
      <c r="B464" s="56">
        <f>IFERROR(__xludf.DUMMYFUNCTION("""COMPUTED_VALUE"""),44336.0)</f>
        <v>44336</v>
      </c>
      <c r="C464" s="59" t="str">
        <f t="shared" si="3"/>
        <v/>
      </c>
      <c r="D464" s="46" t="str">
        <f>IFERROR(__xludf.DUMMYFUNCTION("""COMPUTED_VALUE"""),"Duclb")</f>
        <v>Duclb</v>
      </c>
      <c r="E464" s="57" t="str">
        <f>IFERROR(__xludf.DUMMYFUNCTION("""COMPUTED_VALUE"""),"56HG707951")</f>
        <v>56HG707951</v>
      </c>
      <c r="F464" s="46" t="str">
        <f>IFERROR(__xludf.DUMMYFUNCTION("""COMPUTED_VALUE"""),"Lô 1, Khu CN Hòa Xá, TP Nam Định, Tỉnh Nam Định")</f>
        <v>Lô 1, Khu CN Hòa Xá, TP Nam Định, Tỉnh Nam Định</v>
      </c>
      <c r="G464" s="46" t="str">
        <f>IFERROR(__xludf.DUMMYFUNCTION("""COMPUTED_VALUE"""),"Lỗi khay 10, 500")</f>
        <v>Lỗi khay 10, 500</v>
      </c>
      <c r="H464" s="46"/>
      <c r="I464" s="46"/>
      <c r="J464" s="46" t="str">
        <f>IFERROR(__xludf.DUMMYFUNCTION("""COMPUTED_VALUE"""),"Thay 02 trục pick tiền")</f>
        <v>Thay 02 trục pick tiền</v>
      </c>
      <c r="K464" s="46" t="str">
        <f>IFERROR(__xludf.DUMMYFUNCTION("""COMPUTED_VALUE"""),"02 trục pick")</f>
        <v>02 trục pick</v>
      </c>
      <c r="L464" s="46"/>
      <c r="M464" s="46"/>
      <c r="N464" s="46"/>
      <c r="O464" s="46"/>
      <c r="P464" s="46"/>
      <c r="Q464" s="46" t="str">
        <f>IFERROR(__xludf.DUMMYFUNCTION("""COMPUTED_VALUE"""),"Hoàn thành")</f>
        <v>Hoàn thành</v>
      </c>
      <c r="R464" s="46"/>
      <c r="S464" s="46"/>
      <c r="T464" s="46"/>
      <c r="U464" s="46"/>
      <c r="V464" s="46"/>
      <c r="W464" s="46"/>
      <c r="X464" s="46"/>
      <c r="Y464" s="46"/>
      <c r="Z464" s="46"/>
      <c r="AA464" s="46"/>
    </row>
    <row r="465">
      <c r="A465" s="55">
        <f>IFERROR(__xludf.DUMMYFUNCTION("""COMPUTED_VALUE"""),44336.46335980324)</f>
        <v>44336.46336</v>
      </c>
      <c r="B465" s="56">
        <f>IFERROR(__xludf.DUMMYFUNCTION("""COMPUTED_VALUE"""),44336.0)</f>
        <v>44336</v>
      </c>
      <c r="C465" s="59" t="str">
        <f t="shared" si="3"/>
        <v/>
      </c>
      <c r="D465" s="46" t="str">
        <f>IFERROR(__xludf.DUMMYFUNCTION("""COMPUTED_VALUE"""),"Duclb")</f>
        <v>Duclb</v>
      </c>
      <c r="E465" s="57" t="str">
        <f>IFERROR(__xludf.DUMMYFUNCTION("""COMPUTED_VALUE"""),"5310106194")</f>
        <v>5310106194</v>
      </c>
      <c r="F465" s="46" t="str">
        <f>IFERROR(__xludf.DUMMYFUNCTION("""COMPUTED_VALUE"""),"Số 195 Đường Văn Cao, Phường Trần Quang Khải, TP. Nam Định")</f>
        <v>Số 195 Đường Văn Cao, Phường Trần Quang Khải, TP. Nam Định</v>
      </c>
      <c r="G465" s="46" t="str">
        <f>IFERROR(__xludf.DUMMYFUNCTION("""COMPUTED_VALUE"""),"Lỗi 29")</f>
        <v>Lỗi 29</v>
      </c>
      <c r="H465" s="46"/>
      <c r="I465" s="46"/>
      <c r="J465" s="46"/>
      <c r="K465" s="46" t="str">
        <f>IFERROR(__xludf.DUMMYFUNCTION("""COMPUTED_VALUE"""),"01 shutter 2070")</f>
        <v>01 shutter 2070</v>
      </c>
      <c r="L465" s="46"/>
      <c r="M465" s="46"/>
      <c r="N465" s="46"/>
      <c r="O465" s="46"/>
      <c r="P465" s="46"/>
      <c r="Q465" s="46" t="str">
        <f>IFERROR(__xludf.DUMMYFUNCTION("""COMPUTED_VALUE"""),"Hoàn thành")</f>
        <v>Hoàn thành</v>
      </c>
      <c r="R465" s="46"/>
      <c r="S465" s="46"/>
      <c r="T465" s="46"/>
      <c r="U465" s="46"/>
      <c r="V465" s="46"/>
      <c r="W465" s="46"/>
      <c r="X465" s="46"/>
      <c r="Y465" s="46"/>
      <c r="Z465" s="46"/>
      <c r="AA465" s="46"/>
    </row>
    <row r="466">
      <c r="A466" s="55">
        <f>IFERROR(__xludf.DUMMYFUNCTION("""COMPUTED_VALUE"""),44336.522244872685)</f>
        <v>44336.52224</v>
      </c>
      <c r="B466" s="56">
        <f>IFERROR(__xludf.DUMMYFUNCTION("""COMPUTED_VALUE"""),44336.0)</f>
        <v>44336</v>
      </c>
      <c r="C466" s="59" t="str">
        <f t="shared" si="3"/>
        <v/>
      </c>
      <c r="D466" s="46" t="str">
        <f>IFERROR(__xludf.DUMMYFUNCTION("""COMPUTED_VALUE"""),"tienvm")</f>
        <v>tienvm</v>
      </c>
      <c r="E466" s="57" t="str">
        <f>IFERROR(__xludf.DUMMYFUNCTION("""COMPUTED_VALUE"""),"J821006580")</f>
        <v>J821006580</v>
      </c>
      <c r="F466" s="46" t="str">
        <f>IFERROR(__xludf.DUMMYFUNCTION("""COMPUTED_VALUE"""),"Cổng A Chung cư cao cấp Mulberry Lane, Khu đô thị Mỗ Lao, Hà Đông, Hà Nội")</f>
        <v>Cổng A Chung cư cao cấp Mulberry Lane, Khu đô thị Mỗ Lao, Hà Đông, Hà Nội</v>
      </c>
      <c r="G466" s="46" t="str">
        <f>IFERROR(__xludf.DUMMYFUNCTION("""COMPUTED_VALUE"""),"Juniper mất kết nối liên tục")</f>
        <v>Juniper mất kết nối liên tục</v>
      </c>
      <c r="H466" s="46"/>
      <c r="I466" s="46"/>
      <c r="J466" s="46" t="str">
        <f>IFERROR(__xludf.DUMMYFUNCTION("""COMPUTED_VALUE"""),"Update FW cho Juniper lên cao nhất, kiểm tra kết nối và chờ test khoảng 10 giao dịch ok.")</f>
        <v>Update FW cho Juniper lên cao nhất, kiểm tra kết nối và chờ test khoảng 10 giao dịch ok.</v>
      </c>
      <c r="K466" s="46"/>
      <c r="L466" s="46"/>
      <c r="M466" s="46"/>
      <c r="N466" s="46"/>
      <c r="O466" s="46"/>
      <c r="P466" s="46"/>
      <c r="Q466" s="46" t="str">
        <f>IFERROR(__xludf.DUMMYFUNCTION("""COMPUTED_VALUE"""),"Hoàn thành")</f>
        <v>Hoàn thành</v>
      </c>
      <c r="R466" s="46"/>
      <c r="S466" s="46"/>
      <c r="T466" s="46"/>
      <c r="U466" s="46"/>
      <c r="V466" s="46"/>
      <c r="W466" s="46"/>
      <c r="X466" s="46"/>
      <c r="Y466" s="46"/>
      <c r="Z466" s="46"/>
      <c r="AA466" s="46"/>
    </row>
    <row r="467">
      <c r="A467" s="55">
        <f>IFERROR(__xludf.DUMMYFUNCTION("""COMPUTED_VALUE"""),44336.61520901621)</f>
        <v>44336.61521</v>
      </c>
      <c r="B467" s="56">
        <f>IFERROR(__xludf.DUMMYFUNCTION("""COMPUTED_VALUE"""),44336.0)</f>
        <v>44336</v>
      </c>
      <c r="C467" s="59" t="str">
        <f t="shared" si="3"/>
        <v/>
      </c>
      <c r="D467" s="46" t="str">
        <f>IFERROR(__xludf.DUMMYFUNCTION("""COMPUTED_VALUE"""),"Tuanva")</f>
        <v>Tuanva</v>
      </c>
      <c r="E467" s="57" t="str">
        <f>IFERROR(__xludf.DUMMYFUNCTION("""COMPUTED_VALUE"""),"5300380659")</f>
        <v>5300380659</v>
      </c>
      <c r="F467" s="46" t="str">
        <f>IFERROR(__xludf.DUMMYFUNCTION("""COMPUTED_VALUE"""),"NHNo huyện Phú Lương, TT Đu, huyện Phú Lương, Thái Nguyên")</f>
        <v>NHNo huyện Phú Lương, TT Đu, huyện Phú Lương, Thái Nguyên</v>
      </c>
      <c r="G467" s="46" t="str">
        <f>IFERROR(__xludf.DUMMYFUNCTION("""COMPUTED_VALUE"""),"Máy báo lỗi 2.3")</f>
        <v>Máy báo lỗi 2.3</v>
      </c>
      <c r="H467" s="46"/>
      <c r="I467" s="46"/>
      <c r="J467" s="46" t="str">
        <f>IFERROR(__xludf.DUMMYFUNCTION("""COMPUTED_VALUE"""),"Thay thế clamp")</f>
        <v>Thay thế clamp</v>
      </c>
      <c r="K467" s="46" t="str">
        <f>IFERROR(__xludf.DUMMYFUNCTION("""COMPUTED_VALUE"""),"01 clamp")</f>
        <v>01 clamp</v>
      </c>
      <c r="L467" s="46"/>
      <c r="M467" s="46"/>
      <c r="N467" s="46"/>
      <c r="O467" s="46"/>
      <c r="P467" s="46"/>
      <c r="Q467" s="46" t="str">
        <f>IFERROR(__xludf.DUMMYFUNCTION("""COMPUTED_VALUE"""),"Hoàn thành")</f>
        <v>Hoàn thành</v>
      </c>
      <c r="R467" s="46"/>
      <c r="S467" s="46"/>
      <c r="T467" s="46"/>
      <c r="U467" s="46"/>
      <c r="V467" s="46"/>
      <c r="W467" s="46"/>
      <c r="X467" s="46"/>
      <c r="Y467" s="46"/>
      <c r="Z467" s="46"/>
      <c r="AA467" s="46"/>
    </row>
    <row r="468">
      <c r="A468" s="55">
        <f>IFERROR(__xludf.DUMMYFUNCTION("""COMPUTED_VALUE"""),44336.712787372686)</f>
        <v>44336.71279</v>
      </c>
      <c r="B468" s="56">
        <f>IFERROR(__xludf.DUMMYFUNCTION("""COMPUTED_VALUE"""),44330.0)</f>
        <v>44330</v>
      </c>
      <c r="C468" s="59" t="str">
        <f t="shared" si="3"/>
        <v>Báo cáo muộn</v>
      </c>
      <c r="D468" s="46" t="str">
        <f>IFERROR(__xludf.DUMMYFUNCTION("""COMPUTED_VALUE"""),"Thangnx")</f>
        <v>Thangnx</v>
      </c>
      <c r="E468" s="57" t="str">
        <f>IFERROR(__xludf.DUMMYFUNCTION("""COMPUTED_VALUE"""),"5310181535")</f>
        <v>5310181535</v>
      </c>
      <c r="F468" s="46" t="str">
        <f>IFERROR(__xludf.DUMMYFUNCTION("""COMPUTED_VALUE"""),"Số 301 Phố Nam Dư, phường Lĩnh Nam, Hoàng Mai, Hà Nội")</f>
        <v>Số 301 Phố Nam Dư, phường Lĩnh Nam, Hoàng Mai, Hà Nội</v>
      </c>
      <c r="G468" s="46" t="str">
        <f>IFERROR(__xludf.DUMMYFUNCTION("""COMPUTED_VALUE"""),"Bảo trì. Lỗi khay tiền. Lỗi shutter temper")</f>
        <v>Bảo trì. Lỗi khay tiền. Lỗi shutter temper</v>
      </c>
      <c r="H468" s="46"/>
      <c r="I468" s="46" t="str">
        <f>IFERROR(__xludf.DUMMYFUNCTION("""COMPUTED_VALUE"""),"Bảo trì")</f>
        <v>Bảo trì</v>
      </c>
      <c r="J468" s="46" t="str">
        <f>IFERROR(__xludf.DUMMYFUNCTION("""COMPUTED_VALUE"""),"Chỉnh lại motor khay tiền. Vệ sinh sensor shutter")</f>
        <v>Chỉnh lại motor khay tiền. Vệ sinh sensor shutter</v>
      </c>
      <c r="K468" s="46"/>
      <c r="L468" s="46"/>
      <c r="M468" s="46"/>
      <c r="N468" s="46"/>
      <c r="O468" s="46"/>
      <c r="P468" s="46"/>
      <c r="Q468" s="46" t="str">
        <f>IFERROR(__xludf.DUMMYFUNCTION("""COMPUTED_VALUE"""),"Hoàn thành")</f>
        <v>Hoàn thành</v>
      </c>
      <c r="R468" s="46"/>
      <c r="S468" s="46"/>
      <c r="T468" s="46"/>
      <c r="U468" s="46"/>
      <c r="V468" s="46"/>
      <c r="W468" s="46"/>
      <c r="X468" s="46"/>
      <c r="Y468" s="46"/>
      <c r="Z468" s="46"/>
      <c r="AA468" s="46"/>
    </row>
    <row r="469">
      <c r="A469" s="55">
        <f>IFERROR(__xludf.DUMMYFUNCTION("""COMPUTED_VALUE"""),44336.717856874995)</f>
        <v>44336.71786</v>
      </c>
      <c r="B469" s="56">
        <f>IFERROR(__xludf.DUMMYFUNCTION("""COMPUTED_VALUE"""),44333.0)</f>
        <v>44333</v>
      </c>
      <c r="C469" s="59" t="str">
        <f t="shared" si="3"/>
        <v>Báo cáo muộn</v>
      </c>
      <c r="D469" s="46" t="str">
        <f>IFERROR(__xludf.DUMMYFUNCTION("""COMPUTED_VALUE"""),"Thangnx")</f>
        <v>Thangnx</v>
      </c>
      <c r="E469" s="57" t="str">
        <f>IFERROR(__xludf.DUMMYFUNCTION("""COMPUTED_VALUE"""),"5310181067")</f>
        <v>5310181067</v>
      </c>
      <c r="F469" s="46" t="str">
        <f>IFERROR(__xludf.DUMMYFUNCTION("""COMPUTED_VALUE"""),"Số 289, đường Trường Chính, phường Ba Hàng, thị xã Phổ Yên, tỉnh Thái Nguyên")</f>
        <v>Số 289, đường Trường Chính, phường Ba Hàng, thị xã Phổ Yên, tỉnh Thái Nguyên</v>
      </c>
      <c r="G469" s="46" t="str">
        <f>IFERROR(__xludf.DUMMYFUNCTION("""COMPUTED_VALUE"""),"Bảo trì")</f>
        <v>Bảo trì</v>
      </c>
      <c r="H469" s="46"/>
      <c r="I469" s="46" t="str">
        <f>IFERROR(__xludf.DUMMYFUNCTION("""COMPUTED_VALUE"""),"Bảo trì")</f>
        <v>Bảo trì</v>
      </c>
      <c r="J469" s="46"/>
      <c r="K469" s="46"/>
      <c r="L469" s="46"/>
      <c r="M469" s="46"/>
      <c r="N469" s="46"/>
      <c r="O469" s="46"/>
      <c r="P469" s="46"/>
      <c r="Q469" s="46" t="str">
        <f>IFERROR(__xludf.DUMMYFUNCTION("""COMPUTED_VALUE"""),"Hoàn thành")</f>
        <v>Hoàn thành</v>
      </c>
      <c r="R469" s="46"/>
      <c r="S469" s="46"/>
      <c r="T469" s="46"/>
      <c r="U469" s="46"/>
      <c r="V469" s="46"/>
      <c r="W469" s="46"/>
      <c r="X469" s="46"/>
      <c r="Y469" s="46"/>
      <c r="Z469" s="46"/>
      <c r="AA469" s="46"/>
    </row>
    <row r="470">
      <c r="A470" s="55">
        <f>IFERROR(__xludf.DUMMYFUNCTION("""COMPUTED_VALUE"""),44336.71898819444)</f>
        <v>44336.71899</v>
      </c>
      <c r="B470" s="56">
        <f>IFERROR(__xludf.DUMMYFUNCTION("""COMPUTED_VALUE"""),44333.0)</f>
        <v>44333</v>
      </c>
      <c r="C470" s="59" t="str">
        <f t="shared" si="3"/>
        <v>Báo cáo muộn</v>
      </c>
      <c r="D470" s="46" t="str">
        <f>IFERROR(__xludf.DUMMYFUNCTION("""COMPUTED_VALUE"""),"Thangnx")</f>
        <v>Thangnx</v>
      </c>
      <c r="E470" s="57" t="str">
        <f>IFERROR(__xludf.DUMMYFUNCTION("""COMPUTED_VALUE"""),"5310181577")</f>
        <v>5310181577</v>
      </c>
      <c r="F470" s="46" t="str">
        <f>IFERROR(__xludf.DUMMYFUNCTION("""COMPUTED_VALUE"""),"Xóm Thuần Pháp, xã Điềm Thụy, huyện Phú Bình, tỉnh Thái Nguyên")</f>
        <v>Xóm Thuần Pháp, xã Điềm Thụy, huyện Phú Bình, tỉnh Thái Nguyên</v>
      </c>
      <c r="G470" s="46" t="str">
        <f>IFERROR(__xludf.DUMMYFUNCTION("""COMPUTED_VALUE"""),"Bảo trì, lỗi khay 50")</f>
        <v>Bảo trì, lỗi khay 50</v>
      </c>
      <c r="H470" s="46"/>
      <c r="I470" s="46" t="str">
        <f>IFERROR(__xludf.DUMMYFUNCTION("""COMPUTED_VALUE"""),"Bảo trì")</f>
        <v>Bảo trì</v>
      </c>
      <c r="J470" s="46" t="str">
        <f>IFERROR(__xludf.DUMMYFUNCTION("""COMPUTED_VALUE"""),"Vệ sinh, đổi ghép")</f>
        <v>Vệ sinh, đổi ghép</v>
      </c>
      <c r="K470" s="46"/>
      <c r="L470" s="46"/>
      <c r="M470" s="46"/>
      <c r="N470" s="46"/>
      <c r="O470" s="46"/>
      <c r="P470" s="46"/>
      <c r="Q470" s="46" t="str">
        <f>IFERROR(__xludf.DUMMYFUNCTION("""COMPUTED_VALUE"""),"Hoàn thành")</f>
        <v>Hoàn thành</v>
      </c>
      <c r="R470" s="46"/>
      <c r="S470" s="46"/>
      <c r="T470" s="46"/>
      <c r="U470" s="46"/>
      <c r="V470" s="46"/>
      <c r="W470" s="46"/>
      <c r="X470" s="46"/>
      <c r="Y470" s="46"/>
      <c r="Z470" s="46"/>
      <c r="AA470" s="46"/>
    </row>
    <row r="471">
      <c r="A471" s="55">
        <f>IFERROR(__xludf.DUMMYFUNCTION("""COMPUTED_VALUE"""),44337.614629918986)</f>
        <v>44337.61463</v>
      </c>
      <c r="B471" s="56">
        <f>IFERROR(__xludf.DUMMYFUNCTION("""COMPUTED_VALUE"""),44337.0)</f>
        <v>44337</v>
      </c>
      <c r="C471" s="59" t="str">
        <f t="shared" si="3"/>
        <v/>
      </c>
      <c r="D471" s="46" t="str">
        <f>IFERROR(__xludf.DUMMYFUNCTION("""COMPUTED_VALUE"""),"Duclb")</f>
        <v>Duclb</v>
      </c>
      <c r="E471" s="57" t="str">
        <f>IFERROR(__xludf.DUMMYFUNCTION("""COMPUTED_VALUE"""),"5300378191")</f>
        <v>5300378191</v>
      </c>
      <c r="F471" s="46" t="str">
        <f>IFERROR(__xludf.DUMMYFUNCTION("""COMPUTED_VALUE"""),"Tầng 1,2,3 Tòa Diamond Flower Tower - 48 Lê Văn Lương, Thanh Xuân, Hà Nội")</f>
        <v>Tầng 1,2,3 Tòa Diamond Flower Tower - 48 Lê Văn Lương, Thanh Xuân, Hà Nội</v>
      </c>
      <c r="G471" s="46" t="str">
        <f>IFERROR(__xludf.DUMMYFUNCTION("""COMPUTED_VALUE"""),"Lỗi")</f>
        <v>Lỗi</v>
      </c>
      <c r="H471" s="46"/>
      <c r="I471" s="46"/>
      <c r="J471" s="46" t="str">
        <f>IFERROR(__xludf.DUMMYFUNCTION("""COMPUTED_VALUE"""),"Thay thế linh kiện")</f>
        <v>Thay thế linh kiện</v>
      </c>
      <c r="K471" s="46" t="str">
        <f>IFERROR(__xludf.DUMMYFUNCTION("""COMPUTED_VALUE"""),"01 shutter")</f>
        <v>01 shutter</v>
      </c>
      <c r="L471" s="46" t="str">
        <f>IFERROR(__xludf.DUMMYFUNCTION("""COMPUTED_VALUE"""),"01 clamp")</f>
        <v>01 clamp</v>
      </c>
      <c r="M471" s="46"/>
      <c r="N471" s="46"/>
      <c r="O471" s="46"/>
      <c r="P471" s="46"/>
      <c r="Q471" s="46" t="str">
        <f>IFERROR(__xludf.DUMMYFUNCTION("""COMPUTED_VALUE"""),"Hoàn thành")</f>
        <v>Hoàn thành</v>
      </c>
      <c r="R471" s="46"/>
      <c r="S471" s="46"/>
      <c r="T471" s="46"/>
      <c r="U471" s="46"/>
      <c r="V471" s="46"/>
      <c r="W471" s="46"/>
      <c r="X471" s="46"/>
      <c r="Y471" s="46"/>
      <c r="Z471" s="46"/>
      <c r="AA471" s="46"/>
    </row>
    <row r="472">
      <c r="A472" s="55">
        <f>IFERROR(__xludf.DUMMYFUNCTION("""COMPUTED_VALUE"""),44337.82431792824)</f>
        <v>44337.82432</v>
      </c>
      <c r="B472" s="56">
        <f>IFERROR(__xludf.DUMMYFUNCTION("""COMPUTED_VALUE"""),44337.0)</f>
        <v>44337</v>
      </c>
      <c r="C472" s="59" t="str">
        <f t="shared" si="3"/>
        <v/>
      </c>
      <c r="D472" s="46" t="str">
        <f>IFERROR(__xludf.DUMMYFUNCTION("""COMPUTED_VALUE"""),"Tuanva")</f>
        <v>Tuanva</v>
      </c>
      <c r="E472" s="57" t="str">
        <f>IFERROR(__xludf.DUMMYFUNCTION("""COMPUTED_VALUE"""),"5300381795")</f>
        <v>5300381795</v>
      </c>
      <c r="F472" s="46" t="str">
        <f>IFERROR(__xludf.DUMMYFUNCTION("""COMPUTED_VALUE"""),"37 Nguyễn Đăng Đạo, P. Suối Hoa, Bắc Ninh")</f>
        <v>37 Nguyễn Đăng Đạo, P. Suối Hoa, Bắc Ninh</v>
      </c>
      <c r="G472" s="46" t="str">
        <f>IFERROR(__xludf.DUMMYFUNCTION("""COMPUTED_VALUE"""),"Lỗi nguồn chính")</f>
        <v>Lỗi nguồn chính</v>
      </c>
      <c r="H472" s="46"/>
      <c r="I472" s="46"/>
      <c r="J472" s="46" t="str">
        <f>IFERROR(__xludf.DUMMYFUNCTION("""COMPUTED_VALUE"""),"Thay thế nguồn chính")</f>
        <v>Thay thế nguồn chính</v>
      </c>
      <c r="K472" s="46"/>
      <c r="L472" s="46"/>
      <c r="M472" s="46"/>
      <c r="N472" s="46"/>
      <c r="O472" s="46"/>
      <c r="P472" s="46"/>
      <c r="Q472" s="46" t="str">
        <f>IFERROR(__xludf.DUMMYFUNCTION("""COMPUTED_VALUE"""),"Hoàn thành")</f>
        <v>Hoàn thành</v>
      </c>
      <c r="R472" s="46"/>
      <c r="S472" s="46"/>
      <c r="T472" s="46"/>
      <c r="U472" s="46"/>
      <c r="V472" s="46"/>
      <c r="W472" s="46"/>
      <c r="X472" s="46"/>
      <c r="Y472" s="46"/>
      <c r="Z472" s="46"/>
      <c r="AA472" s="46"/>
    </row>
    <row r="473">
      <c r="A473" s="55">
        <f>IFERROR(__xludf.DUMMYFUNCTION("""COMPUTED_VALUE"""),44337.8247497338)</f>
        <v>44337.82475</v>
      </c>
      <c r="B473" s="56">
        <f>IFERROR(__xludf.DUMMYFUNCTION("""COMPUTED_VALUE"""),44337.0)</f>
        <v>44337</v>
      </c>
      <c r="C473" s="59" t="str">
        <f t="shared" si="3"/>
        <v/>
      </c>
      <c r="D473" s="46" t="str">
        <f>IFERROR(__xludf.DUMMYFUNCTION("""COMPUTED_VALUE"""),"Tuanva")</f>
        <v>Tuanva</v>
      </c>
      <c r="E473" s="57" t="str">
        <f>IFERROR(__xludf.DUMMYFUNCTION("""COMPUTED_VALUE"""),"5300377957")</f>
        <v>5300377957</v>
      </c>
      <c r="F473" s="46" t="str">
        <f>IFERROR(__xludf.DUMMYFUNCTION("""COMPUTED_VALUE"""),"37 Nguyễn Đăng Đạo, P. Suối Hoa, Bắc Ninh")</f>
        <v>37 Nguyễn Đăng Đạo, P. Suối Hoa, Bắc Ninh</v>
      </c>
      <c r="G473" s="46" t="str">
        <f>IFERROR(__xludf.DUMMYFUNCTION("""COMPUTED_VALUE"""),"Hỏng nguồn chính")</f>
        <v>Hỏng nguồn chính</v>
      </c>
      <c r="H473" s="46"/>
      <c r="I473" s="46"/>
      <c r="J473" s="46" t="str">
        <f>IFERROR(__xludf.DUMMYFUNCTION("""COMPUTED_VALUE"""),"Thay thế nguồn chính")</f>
        <v>Thay thế nguồn chính</v>
      </c>
      <c r="K473" s="46"/>
      <c r="L473" s="46"/>
      <c r="M473" s="46"/>
      <c r="N473" s="46"/>
      <c r="O473" s="46"/>
      <c r="P473" s="46"/>
      <c r="Q473" s="46" t="str">
        <f>IFERROR(__xludf.DUMMYFUNCTION("""COMPUTED_VALUE"""),"Hoàn thành")</f>
        <v>Hoàn thành</v>
      </c>
      <c r="R473" s="46"/>
      <c r="S473" s="46"/>
      <c r="T473" s="46"/>
      <c r="U473" s="46"/>
      <c r="V473" s="46"/>
      <c r="W473" s="46"/>
      <c r="X473" s="46"/>
      <c r="Y473" s="46"/>
      <c r="Z473" s="46"/>
      <c r="AA473" s="46"/>
    </row>
    <row r="474">
      <c r="A474" s="55">
        <f>IFERROR(__xludf.DUMMYFUNCTION("""COMPUTED_VALUE"""),44338.63011179398)</f>
        <v>44338.63011</v>
      </c>
      <c r="B474" s="56">
        <f>IFERROR(__xludf.DUMMYFUNCTION("""COMPUTED_VALUE"""),44338.0)</f>
        <v>44338</v>
      </c>
      <c r="C474" s="59" t="str">
        <f t="shared" si="3"/>
        <v/>
      </c>
      <c r="D474" s="46" t="str">
        <f>IFERROR(__xludf.DUMMYFUNCTION("""COMPUTED_VALUE"""),"Tunt")</f>
        <v>Tunt</v>
      </c>
      <c r="E474" s="57" t="str">
        <f>IFERROR(__xludf.DUMMYFUNCTION("""COMPUTED_VALUE"""),"56HGL00284")</f>
        <v>56HGL00284</v>
      </c>
      <c r="F474" s="46" t="str">
        <f>IFERROR(__xludf.DUMMYFUNCTION("""COMPUTED_VALUE"""),"Trung tâm huấn luyện 334, Sơn Tây, Hà Nội")</f>
        <v>Trung tâm huấn luyện 334, Sơn Tây, Hà Nội</v>
      </c>
      <c r="G474" s="46" t="str">
        <f>IFERROR(__xludf.DUMMYFUNCTION("""COMPUTED_VALUE"""),"Lỗi đầu đọc thẻ")</f>
        <v>Lỗi đầu đọc thẻ</v>
      </c>
      <c r="H474" s="46"/>
      <c r="I474" s="46"/>
      <c r="J474" s="46" t="str">
        <f>IFERROR(__xludf.DUMMYFUNCTION("""COMPUTED_VALUE"""),"Chỉnh lại shutter đầu đọc và vệ sinh")</f>
        <v>Chỉnh lại shutter đầu đọc và vệ sinh</v>
      </c>
      <c r="K474" s="46"/>
      <c r="L474" s="46"/>
      <c r="M474" s="46"/>
      <c r="N474" s="46"/>
      <c r="O474" s="46"/>
      <c r="P474" s="46"/>
      <c r="Q474" s="46" t="str">
        <f>IFERROR(__xludf.DUMMYFUNCTION("""COMPUTED_VALUE"""),"Hoàn thành")</f>
        <v>Hoàn thành</v>
      </c>
      <c r="R474" s="46"/>
      <c r="S474" s="46"/>
      <c r="T474" s="46"/>
      <c r="U474" s="46"/>
      <c r="V474" s="46"/>
      <c r="W474" s="46"/>
      <c r="X474" s="46"/>
      <c r="Y474" s="46"/>
      <c r="Z474" s="46"/>
      <c r="AA474" s="46"/>
    </row>
    <row r="475">
      <c r="A475" s="55">
        <f>IFERROR(__xludf.DUMMYFUNCTION("""COMPUTED_VALUE"""),44338.722283333336)</f>
        <v>44338.72228</v>
      </c>
      <c r="B475" s="56">
        <f>IFERROR(__xludf.DUMMYFUNCTION("""COMPUTED_VALUE"""),44334.0)</f>
        <v>44334</v>
      </c>
      <c r="C475" s="59" t="str">
        <f t="shared" si="3"/>
        <v>Báo cáo muộn</v>
      </c>
      <c r="D475" s="46" t="str">
        <f>IFERROR(__xludf.DUMMYFUNCTION("""COMPUTED_VALUE"""),"Thangnx")</f>
        <v>Thangnx</v>
      </c>
      <c r="E475" s="57" t="str">
        <f>IFERROR(__xludf.DUMMYFUNCTION("""COMPUTED_VALUE"""),"5310181464")</f>
        <v>5310181464</v>
      </c>
      <c r="F475" s="46" t="str">
        <f>IFERROR(__xludf.DUMMYFUNCTION("""COMPUTED_VALUE"""),"Số 10, đường CMT8, phường Phan Đình Phùng, TP Thái Nguyên")</f>
        <v>Số 10, đường CMT8, phường Phan Đình Phùng, TP Thái Nguyên</v>
      </c>
      <c r="G475" s="46" t="str">
        <f>IFERROR(__xludf.DUMMYFUNCTION("""COMPUTED_VALUE"""),"Bảo trì")</f>
        <v>Bảo trì</v>
      </c>
      <c r="H475" s="46"/>
      <c r="I475" s="46" t="str">
        <f>IFERROR(__xludf.DUMMYFUNCTION("""COMPUTED_VALUE"""),"Bảo trì")</f>
        <v>Bảo trì</v>
      </c>
      <c r="J475" s="46"/>
      <c r="K475" s="46"/>
      <c r="L475" s="46"/>
      <c r="M475" s="46"/>
      <c r="N475" s="46"/>
      <c r="O475" s="46"/>
      <c r="P475" s="46"/>
      <c r="Q475" s="46" t="str">
        <f>IFERROR(__xludf.DUMMYFUNCTION("""COMPUTED_VALUE"""),"Hoàn thành")</f>
        <v>Hoàn thành</v>
      </c>
      <c r="R475" s="46"/>
      <c r="S475" s="46"/>
      <c r="T475" s="46"/>
      <c r="U475" s="46"/>
      <c r="V475" s="46"/>
      <c r="W475" s="46"/>
      <c r="X475" s="46"/>
      <c r="Y475" s="46"/>
      <c r="Z475" s="46"/>
      <c r="AA475" s="46"/>
    </row>
    <row r="476">
      <c r="A476" s="55">
        <f>IFERROR(__xludf.DUMMYFUNCTION("""COMPUTED_VALUE"""),44338.72269393518)</f>
        <v>44338.72269</v>
      </c>
      <c r="B476" s="56">
        <f>IFERROR(__xludf.DUMMYFUNCTION("""COMPUTED_VALUE"""),44334.0)</f>
        <v>44334</v>
      </c>
      <c r="C476" s="59" t="str">
        <f t="shared" si="3"/>
        <v>Báo cáo muộn</v>
      </c>
      <c r="D476" s="46" t="str">
        <f>IFERROR(__xludf.DUMMYFUNCTION("""COMPUTED_VALUE"""),"Thangnx")</f>
        <v>Thangnx</v>
      </c>
      <c r="E476" s="57" t="str">
        <f>IFERROR(__xludf.DUMMYFUNCTION("""COMPUTED_VALUE"""),"5310182357")</f>
        <v>5310182357</v>
      </c>
      <c r="F476" s="46" t="str">
        <f>IFERROR(__xludf.DUMMYFUNCTION("""COMPUTED_VALUE"""),"Số 1, đường Lương Ngọc Quyến, tổ 3, Phường Hoàng Văn Thụ, TPTN")</f>
        <v>Số 1, đường Lương Ngọc Quyến, tổ 3, Phường Hoàng Văn Thụ, TPTN</v>
      </c>
      <c r="G476" s="46" t="str">
        <f>IFERROR(__xludf.DUMMYFUNCTION("""COMPUTED_VALUE"""),"Bảo trì")</f>
        <v>Bảo trì</v>
      </c>
      <c r="H476" s="46"/>
      <c r="I476" s="46" t="str">
        <f>IFERROR(__xludf.DUMMYFUNCTION("""COMPUTED_VALUE"""),"Bảo trì")</f>
        <v>Bảo trì</v>
      </c>
      <c r="J476" s="46"/>
      <c r="K476" s="46"/>
      <c r="L476" s="46"/>
      <c r="M476" s="46"/>
      <c r="N476" s="46"/>
      <c r="O476" s="46"/>
      <c r="P476" s="46"/>
      <c r="Q476" s="46" t="str">
        <f>IFERROR(__xludf.DUMMYFUNCTION("""COMPUTED_VALUE"""),"Hoàn thành")</f>
        <v>Hoàn thành</v>
      </c>
      <c r="R476" s="46"/>
      <c r="S476" s="46"/>
      <c r="T476" s="46"/>
      <c r="U476" s="46"/>
      <c r="V476" s="46"/>
      <c r="W476" s="46"/>
      <c r="X476" s="46"/>
      <c r="Y476" s="46"/>
      <c r="Z476" s="46"/>
      <c r="AA476" s="46"/>
    </row>
    <row r="477">
      <c r="A477" s="55">
        <f>IFERROR(__xludf.DUMMYFUNCTION("""COMPUTED_VALUE"""),44338.72371564815)</f>
        <v>44338.72372</v>
      </c>
      <c r="B477" s="56">
        <f>IFERROR(__xludf.DUMMYFUNCTION("""COMPUTED_VALUE"""),44335.0)</f>
        <v>44335</v>
      </c>
      <c r="C477" s="59" t="str">
        <f t="shared" si="3"/>
        <v>Báo cáo muộn</v>
      </c>
      <c r="D477" s="46" t="str">
        <f>IFERROR(__xludf.DUMMYFUNCTION("""COMPUTED_VALUE"""),"Thangnx")</f>
        <v>Thangnx</v>
      </c>
      <c r="E477" s="57" t="str">
        <f>IFERROR(__xludf.DUMMYFUNCTION("""COMPUTED_VALUE"""),"5310183243")</f>
        <v>5310183243</v>
      </c>
      <c r="F477" s="46" t="str">
        <f>IFERROR(__xludf.DUMMYFUNCTION("""COMPUTED_VALUE"""),"Tổ 19, đường Quang Trung, phường Thịnh Đán, TP Thái Nguyên")</f>
        <v>Tổ 19, đường Quang Trung, phường Thịnh Đán, TP Thái Nguyên</v>
      </c>
      <c r="G477" s="46" t="str">
        <f>IFERROR(__xludf.DUMMYFUNCTION("""COMPUTED_VALUE"""),"Bảo trì, hay mất kết nối")</f>
        <v>Bảo trì, hay mất kết nối</v>
      </c>
      <c r="H477" s="46"/>
      <c r="I477" s="46" t="str">
        <f>IFERROR(__xludf.DUMMYFUNCTION("""COMPUTED_VALUE"""),"Bảo trì")</f>
        <v>Bảo trì</v>
      </c>
      <c r="J477" s="46" t="str">
        <f>IFERROR(__xludf.DUMMYFUNCTION("""COMPUTED_VALUE"""),"Reset port")</f>
        <v>Reset port</v>
      </c>
      <c r="K477" s="46"/>
      <c r="L477" s="46"/>
      <c r="M477" s="46"/>
      <c r="N477" s="46"/>
      <c r="O477" s="46"/>
      <c r="P477" s="46"/>
      <c r="Q477" s="46" t="str">
        <f>IFERROR(__xludf.DUMMYFUNCTION("""COMPUTED_VALUE"""),"Hoàn thành")</f>
        <v>Hoàn thành</v>
      </c>
      <c r="R477" s="46"/>
      <c r="S477" s="46"/>
      <c r="T477" s="46"/>
      <c r="U477" s="46"/>
      <c r="V477" s="46"/>
      <c r="W477" s="46"/>
      <c r="X477" s="46"/>
      <c r="Y477" s="46"/>
      <c r="Z477" s="46"/>
      <c r="AA477" s="46"/>
    </row>
    <row r="478">
      <c r="A478" s="55">
        <f>IFERROR(__xludf.DUMMYFUNCTION("""COMPUTED_VALUE"""),44338.72431055555)</f>
        <v>44338.72431</v>
      </c>
      <c r="B478" s="56">
        <f>IFERROR(__xludf.DUMMYFUNCTION("""COMPUTED_VALUE"""),44335.0)</f>
        <v>44335</v>
      </c>
      <c r="C478" s="59" t="str">
        <f t="shared" si="3"/>
        <v>Báo cáo muộn</v>
      </c>
      <c r="D478" s="46" t="str">
        <f>IFERROR(__xludf.DUMMYFUNCTION("""COMPUTED_VALUE"""),"Thangnx")</f>
        <v>Thangnx</v>
      </c>
      <c r="E478" s="57" t="str">
        <f>IFERROR(__xludf.DUMMYFUNCTION("""COMPUTED_VALUE"""),"5310183244")</f>
        <v>5310183244</v>
      </c>
      <c r="F478" s="46" t="str">
        <f>IFERROR(__xludf.DUMMYFUNCTION("""COMPUTED_VALUE"""),"Xóm Phố, xã La Hiên, huyện Võ Nhai, tỉnh Thái Nguyên")</f>
        <v>Xóm Phố, xã La Hiên, huyện Võ Nhai, tỉnh Thái Nguyên</v>
      </c>
      <c r="G478" s="46" t="str">
        <f>IFERROR(__xludf.DUMMYFUNCTION("""COMPUTED_VALUE"""),"Bảo trì")</f>
        <v>Bảo trì</v>
      </c>
      <c r="H478" s="46"/>
      <c r="I478" s="46" t="str">
        <f>IFERROR(__xludf.DUMMYFUNCTION("""COMPUTED_VALUE"""),"Bảo trì")</f>
        <v>Bảo trì</v>
      </c>
      <c r="J478" s="46"/>
      <c r="K478" s="46"/>
      <c r="L478" s="46"/>
      <c r="M478" s="46"/>
      <c r="N478" s="46"/>
      <c r="O478" s="46"/>
      <c r="P478" s="46"/>
      <c r="Q478" s="46" t="str">
        <f>IFERROR(__xludf.DUMMYFUNCTION("""COMPUTED_VALUE"""),"Hoàn thành")</f>
        <v>Hoàn thành</v>
      </c>
      <c r="R478" s="46"/>
      <c r="S478" s="46"/>
      <c r="T478" s="46"/>
      <c r="U478" s="46"/>
      <c r="V478" s="46"/>
      <c r="W478" s="46"/>
      <c r="X478" s="46"/>
      <c r="Y478" s="46"/>
      <c r="Z478" s="46"/>
      <c r="AA478" s="46"/>
    </row>
    <row r="479">
      <c r="A479" s="55">
        <f>IFERROR(__xludf.DUMMYFUNCTION("""COMPUTED_VALUE"""),44338.72657105324)</f>
        <v>44338.72657</v>
      </c>
      <c r="B479" s="56">
        <f>IFERROR(__xludf.DUMMYFUNCTION("""COMPUTED_VALUE"""),44336.0)</f>
        <v>44336</v>
      </c>
      <c r="C479" s="59" t="str">
        <f t="shared" si="3"/>
        <v>Báo cáo muộn</v>
      </c>
      <c r="D479" s="46" t="str">
        <f>IFERROR(__xludf.DUMMYFUNCTION("""COMPUTED_VALUE"""),"Thangnx")</f>
        <v>Thangnx</v>
      </c>
      <c r="E479" s="57" t="str">
        <f>IFERROR(__xludf.DUMMYFUNCTION("""COMPUTED_VALUE"""),"J821001600")</f>
        <v>J821001600</v>
      </c>
      <c r="F479" s="46" t="str">
        <f>IFERROR(__xludf.DUMMYFUNCTION("""COMPUTED_VALUE"""),"Xã Hóa Thượng - Huyện Đồng Hỷ - Tỉnh Thái Nguyên")</f>
        <v>Xã Hóa Thượng - Huyện Đồng Hỷ - Tỉnh Thái Nguyên</v>
      </c>
      <c r="G479" s="46" t="str">
        <f>IFERROR(__xludf.DUMMYFUNCTION("""COMPUTED_VALUE"""),"Lỗi tiền loại nhiều")</f>
        <v>Lỗi tiền loại nhiều</v>
      </c>
      <c r="H479" s="46"/>
      <c r="I479" s="46"/>
      <c r="J479" s="46" t="str">
        <f>IFERROR(__xludf.DUMMYFUNCTION("""COMPUTED_VALUE"""),"Vệ sinh máy, chỉnh ghép")</f>
        <v>Vệ sinh máy, chỉnh ghép</v>
      </c>
      <c r="K479" s="46"/>
      <c r="L479" s="46"/>
      <c r="M479" s="46"/>
      <c r="N479" s="46"/>
      <c r="O479" s="46"/>
      <c r="P479" s="46"/>
      <c r="Q479" s="46" t="str">
        <f>IFERROR(__xludf.DUMMYFUNCTION("""COMPUTED_VALUE"""),"Hoàn thành")</f>
        <v>Hoàn thành</v>
      </c>
      <c r="R479" s="46"/>
      <c r="S479" s="46"/>
      <c r="T479" s="46"/>
      <c r="U479" s="46"/>
      <c r="V479" s="46"/>
      <c r="W479" s="46"/>
      <c r="X479" s="46"/>
      <c r="Y479" s="46"/>
      <c r="Z479" s="46"/>
      <c r="AA479" s="46"/>
    </row>
    <row r="480">
      <c r="A480" s="55">
        <f>IFERROR(__xludf.DUMMYFUNCTION("""COMPUTED_VALUE"""),44339.42661951389)</f>
        <v>44339.42662</v>
      </c>
      <c r="B480" s="56">
        <f>IFERROR(__xludf.DUMMYFUNCTION("""COMPUTED_VALUE"""),44337.0)</f>
        <v>44337</v>
      </c>
      <c r="C480" s="59" t="str">
        <f t="shared" si="3"/>
        <v>Báo cáo muộn</v>
      </c>
      <c r="D480" s="46" t="str">
        <f>IFERROR(__xludf.DUMMYFUNCTION("""COMPUTED_VALUE"""),"Hieppn ")</f>
        <v>Hieppn </v>
      </c>
      <c r="E480" s="57" t="str">
        <f>IFERROR(__xludf.DUMMYFUNCTION("""COMPUTED_VALUE"""),"5300381717")</f>
        <v>5300381717</v>
      </c>
      <c r="F480" s="46" t="str">
        <f>IFERROR(__xludf.DUMMYFUNCTION("""COMPUTED_VALUE"""),"Thị trấn Ngọc Lặc, Ngọc Lặc, Thanh Hóa")</f>
        <v>Thị trấn Ngọc Lặc, Ngọc Lặc, Thanh Hóa</v>
      </c>
      <c r="G480" s="46" t="str">
        <f>IFERROR(__xludf.DUMMYFUNCTION("""COMPUTED_VALUE"""),"Lỗi bộ trả tiền không rút đc tiền ơi khay 50k")</f>
        <v>Lỗi bộ trả tiền không rút đc tiền ơi khay 50k</v>
      </c>
      <c r="H480" s="46"/>
      <c r="I480" s="46"/>
      <c r="J480" s="46" t="str">
        <f>IFERROR(__xludf.DUMMYFUNCTION("""COMPUTED_VALUE"""),"Thay thế ")</f>
        <v>Thay thế </v>
      </c>
      <c r="K480" s="46" t="str">
        <f>IFERROR(__xludf.DUMMYFUNCTION("""COMPUTED_VALUE"""),"01 extractor")</f>
        <v>01 extractor</v>
      </c>
      <c r="L480" s="46"/>
      <c r="M480" s="46"/>
      <c r="N480" s="46"/>
      <c r="O480" s="46"/>
      <c r="P480" s="46"/>
      <c r="Q480" s="46" t="str">
        <f>IFERROR(__xludf.DUMMYFUNCTION("""COMPUTED_VALUE"""),"Hoàn thành")</f>
        <v>Hoàn thành</v>
      </c>
      <c r="R480" s="46"/>
      <c r="S480" s="46"/>
      <c r="T480" s="46"/>
      <c r="U480" s="46"/>
      <c r="V480" s="46"/>
      <c r="W480" s="46"/>
      <c r="X480" s="46"/>
      <c r="Y480" s="46"/>
      <c r="Z480" s="46"/>
      <c r="AA480" s="46"/>
    </row>
    <row r="481">
      <c r="A481" s="55">
        <f>IFERROR(__xludf.DUMMYFUNCTION("""COMPUTED_VALUE"""),44339.88775123842)</f>
        <v>44339.88775</v>
      </c>
      <c r="B481" s="56">
        <f>IFERROR(__xludf.DUMMYFUNCTION("""COMPUTED_VALUE"""),44337.0)</f>
        <v>44337</v>
      </c>
      <c r="C481" s="59" t="str">
        <f t="shared" si="3"/>
        <v>Báo cáo muộn</v>
      </c>
      <c r="D481" s="46" t="str">
        <f>IFERROR(__xludf.DUMMYFUNCTION("""COMPUTED_VALUE"""),"tienvm")</f>
        <v>tienvm</v>
      </c>
      <c r="E481" s="57" t="str">
        <f>IFERROR(__xludf.DUMMYFUNCTION("""COMPUTED_VALUE"""),"5300377933")</f>
        <v>5300377933</v>
      </c>
      <c r="F481" s="46" t="str">
        <f>IFERROR(__xludf.DUMMYFUNCTION("""COMPUTED_VALUE"""),"Số 75 Phương Mai, Hà Nội")</f>
        <v>Số 75 Phương Mai, Hà Nội</v>
      </c>
      <c r="G481" s="46" t="str">
        <f>IFERROR(__xludf.DUMMYFUNCTION("""COMPUTED_VALUE"""),"Lỗi đầu đọc thẻ")</f>
        <v>Lỗi đầu đọc thẻ</v>
      </c>
      <c r="H481" s="46"/>
      <c r="I481" s="46"/>
      <c r="J481" s="46" t="str">
        <f>IFERROR(__xludf.DUMMYFUNCTION("""COMPUTED_VALUE"""),"Kiểm tra, vệ sinh và thay thế 01 trục cuốn thẻ. Sau khi xử lý đã test thử và theo dõi các giao dịch đều ok.")</f>
        <v>Kiểm tra, vệ sinh và thay thế 01 trục cuốn thẻ. Sau khi xử lý đã test thử và theo dõi các giao dịch đều ok.</v>
      </c>
      <c r="K481" s="46" t="str">
        <f>IFERROR(__xludf.DUMMYFUNCTION("""COMPUTED_VALUE"""),"01 trục cuốn thẻ")</f>
        <v>01 trục cuốn thẻ</v>
      </c>
      <c r="L481" s="46"/>
      <c r="M481" s="46"/>
      <c r="N481" s="46"/>
      <c r="O481" s="46"/>
      <c r="P481" s="46"/>
      <c r="Q481" s="46" t="str">
        <f>IFERROR(__xludf.DUMMYFUNCTION("""COMPUTED_VALUE"""),"Hoàn thành")</f>
        <v>Hoàn thành</v>
      </c>
      <c r="R481" s="46"/>
      <c r="S481" s="46"/>
      <c r="T481" s="46"/>
      <c r="U481" s="46"/>
      <c r="V481" s="46"/>
      <c r="W481" s="46"/>
      <c r="X481" s="46"/>
      <c r="Y481" s="46"/>
      <c r="Z481" s="46"/>
      <c r="AA481" s="46"/>
    </row>
    <row r="482">
      <c r="A482" s="55">
        <f>IFERROR(__xludf.DUMMYFUNCTION("""COMPUTED_VALUE"""),44340.370728078706)</f>
        <v>44340.37073</v>
      </c>
      <c r="B482" s="56">
        <f>IFERROR(__xludf.DUMMYFUNCTION("""COMPUTED_VALUE"""),44337.0)</f>
        <v>44337</v>
      </c>
      <c r="C482" s="59" t="str">
        <f t="shared" si="3"/>
        <v>Báo cáo muộn</v>
      </c>
      <c r="D482" s="46" t="str">
        <f>IFERROR(__xludf.DUMMYFUNCTION("""COMPUTED_VALUE"""),"tienvm")</f>
        <v>tienvm</v>
      </c>
      <c r="E482" s="57" t="str">
        <f>IFERROR(__xludf.DUMMYFUNCTION("""COMPUTED_VALUE"""),"J821002772")</f>
        <v>J821002772</v>
      </c>
      <c r="F482" s="46" t="str">
        <f>IFERROR(__xludf.DUMMYFUNCTION("""COMPUTED_VALUE"""),"Tòa nhà MB, Số 63 Lê Văn Lương, Hà Nội")</f>
        <v>Tòa nhà MB, Số 63 Lê Văn Lương, Hà Nội</v>
      </c>
      <c r="G482" s="46" t="str">
        <f>IFERROR(__xludf.DUMMYFUNCTION("""COMPUTED_VALUE"""),"Kẹt tiền tầng 100k")</f>
        <v>Kẹt tiền tầng 100k</v>
      </c>
      <c r="H482" s="46"/>
      <c r="I482" s="46"/>
      <c r="J482" s="46" t="str">
        <f>IFERROR(__xludf.DUMMYFUNCTION("""COMPUTED_VALUE"""),"Kiểm tra, gỡ tiền kẹt tại tầng 100k. Trong đó bị vướng chun nên kẹt. Đã khuyến cáo khách hàng. Sau khi gỡ và kiểm tra lại, đã theo dõi giao dịch thành công.")</f>
        <v>Kiểm tra, gỡ tiền kẹt tại tầng 100k. Trong đó bị vướng chun nên kẹt. Đã khuyến cáo khách hàng. Sau khi gỡ và kiểm tra lại, đã theo dõi giao dịch thành công.</v>
      </c>
      <c r="K482" s="46"/>
      <c r="L482" s="46"/>
      <c r="M482" s="46"/>
      <c r="N482" s="46"/>
      <c r="O482" s="46"/>
      <c r="P482" s="46"/>
      <c r="Q482" s="46" t="str">
        <f>IFERROR(__xludf.DUMMYFUNCTION("""COMPUTED_VALUE"""),"Hoàn thành")</f>
        <v>Hoàn thành</v>
      </c>
      <c r="R482" s="46"/>
      <c r="S482" s="46"/>
      <c r="T482" s="46"/>
      <c r="U482" s="46"/>
      <c r="V482" s="46"/>
      <c r="W482" s="46"/>
      <c r="X482" s="46"/>
      <c r="Y482" s="46"/>
      <c r="Z482" s="46"/>
      <c r="AA482" s="46"/>
    </row>
    <row r="483">
      <c r="A483" s="55">
        <f>IFERROR(__xludf.DUMMYFUNCTION("""COMPUTED_VALUE"""),44340.422257708335)</f>
        <v>44340.42226</v>
      </c>
      <c r="B483" s="56">
        <f>IFERROR(__xludf.DUMMYFUNCTION("""COMPUTED_VALUE"""),44334.0)</f>
        <v>44334</v>
      </c>
      <c r="C483" s="59" t="str">
        <f t="shared" si="3"/>
        <v>Báo cáo muộn</v>
      </c>
      <c r="D483" s="46" t="str">
        <f>IFERROR(__xludf.DUMMYFUNCTION("""COMPUTED_VALUE"""),"Hoathv")</f>
        <v>Hoathv</v>
      </c>
      <c r="E483" s="57" t="str">
        <f>IFERROR(__xludf.DUMMYFUNCTION("""COMPUTED_VALUE"""),"5300381623")</f>
        <v>5300381623</v>
      </c>
      <c r="F483" s="46" t="str">
        <f>IFERROR(__xludf.DUMMYFUNCTION("""COMPUTED_VALUE"""),"NHNo Yên Khánh, H.Yên Khánh, Ninh Bình")</f>
        <v>NHNo Yên Khánh, H.Yên Khánh, Ninh Bình</v>
      </c>
      <c r="G483" s="46" t="str">
        <f>IFERROR(__xludf.DUMMYFUNCTION("""COMPUTED_VALUE"""),"Lỗi BPTT")</f>
        <v>Lỗi BPTT</v>
      </c>
      <c r="H483" s="46"/>
      <c r="I483" s="46"/>
      <c r="J483" s="46"/>
      <c r="K483" s="46" t="str">
        <f>IFERROR(__xludf.DUMMYFUNCTION("""COMPUTED_VALUE"""),"01 extractor")</f>
        <v>01 extractor</v>
      </c>
      <c r="L483" s="46"/>
      <c r="M483" s="46"/>
      <c r="N483" s="46"/>
      <c r="O483" s="46"/>
      <c r="P483" s="46"/>
      <c r="Q483" s="46" t="str">
        <f>IFERROR(__xludf.DUMMYFUNCTION("""COMPUTED_VALUE"""),"Hoàn thành")</f>
        <v>Hoàn thành</v>
      </c>
      <c r="R483" s="46"/>
      <c r="S483" s="46"/>
      <c r="T483" s="46"/>
      <c r="U483" s="46"/>
      <c r="V483" s="46"/>
      <c r="W483" s="46"/>
      <c r="X483" s="46"/>
      <c r="Y483" s="46"/>
      <c r="Z483" s="46"/>
      <c r="AA483" s="46"/>
    </row>
    <row r="484">
      <c r="A484" s="55">
        <f>IFERROR(__xludf.DUMMYFUNCTION("""COMPUTED_VALUE"""),44340.42329944445)</f>
        <v>44340.4233</v>
      </c>
      <c r="B484" s="56">
        <f>IFERROR(__xludf.DUMMYFUNCTION("""COMPUTED_VALUE"""),44335.0)</f>
        <v>44335</v>
      </c>
      <c r="C484" s="59" t="str">
        <f t="shared" si="3"/>
        <v>Báo cáo muộn</v>
      </c>
      <c r="D484" s="46" t="str">
        <f>IFERROR(__xludf.DUMMYFUNCTION("""COMPUTED_VALUE"""),"Hoathv")</f>
        <v>Hoathv</v>
      </c>
      <c r="E484" s="57" t="str">
        <f>IFERROR(__xludf.DUMMYFUNCTION("""COMPUTED_VALUE"""),"5300380314")</f>
        <v>5300380314</v>
      </c>
      <c r="F484" s="46" t="str">
        <f>IFERROR(__xludf.DUMMYFUNCTION("""COMPUTED_VALUE"""),"2454 Đại Lộ Hùng Vương - Vân Cơ - Việt Trì - Phú Thọ")</f>
        <v>2454 Đại Lộ Hùng Vương - Vân Cơ - Việt Trì - Phú Thọ</v>
      </c>
      <c r="G484" s="46" t="str">
        <f>IFERROR(__xludf.DUMMYFUNCTION("""COMPUTED_VALUE"""),"Lỗi đầu đọc thẻ")</f>
        <v>Lỗi đầu đọc thẻ</v>
      </c>
      <c r="H484" s="46"/>
      <c r="I484" s="46"/>
      <c r="J484" s="46"/>
      <c r="K484" s="46" t="str">
        <f>IFERROR(__xludf.DUMMYFUNCTION("""COMPUTED_VALUE"""),"01 đầu từ")</f>
        <v>01 đầu từ</v>
      </c>
      <c r="L484" s="46"/>
      <c r="M484" s="46"/>
      <c r="N484" s="46"/>
      <c r="O484" s="46"/>
      <c r="P484" s="46"/>
      <c r="Q484" s="46" t="str">
        <f>IFERROR(__xludf.DUMMYFUNCTION("""COMPUTED_VALUE"""),"Hoàn thành")</f>
        <v>Hoàn thành</v>
      </c>
      <c r="R484" s="46"/>
      <c r="S484" s="46"/>
      <c r="T484" s="46"/>
      <c r="U484" s="46"/>
      <c r="V484" s="46"/>
      <c r="W484" s="46"/>
      <c r="X484" s="46"/>
      <c r="Y484" s="46"/>
      <c r="Z484" s="46"/>
      <c r="AA484" s="46"/>
    </row>
    <row r="485">
      <c r="A485" s="55">
        <f>IFERROR(__xludf.DUMMYFUNCTION("""COMPUTED_VALUE"""),44340.42540021991)</f>
        <v>44340.4254</v>
      </c>
      <c r="B485" s="56">
        <f>IFERROR(__xludf.DUMMYFUNCTION("""COMPUTED_VALUE"""),44335.0)</f>
        <v>44335</v>
      </c>
      <c r="C485" s="59" t="str">
        <f t="shared" si="3"/>
        <v>Báo cáo muộn</v>
      </c>
      <c r="D485" s="46" t="str">
        <f>IFERROR(__xludf.DUMMYFUNCTION("""COMPUTED_VALUE"""),"Hoathv")</f>
        <v>Hoathv</v>
      </c>
      <c r="E485" s="57" t="str">
        <f>IFERROR(__xludf.DUMMYFUNCTION("""COMPUTED_VALUE"""),"56HG707949")</f>
        <v>56HG707949</v>
      </c>
      <c r="F485" s="46" t="str">
        <f>IFERROR(__xludf.DUMMYFUNCTION("""COMPUTED_VALUE"""),"Công ty TNHH MTV Cơ Khí Hóa chất 13, TT Tân Bình, Huyện Yên Sơn, Tỉnh Tuyên Quang")</f>
        <v>Công ty TNHH MTV Cơ Khí Hóa chất 13, TT Tân Bình, Huyện Yên Sơn, Tỉnh Tuyên Quang</v>
      </c>
      <c r="G485" s="46" t="str">
        <f>IFERROR(__xludf.DUMMYFUNCTION("""COMPUTED_VALUE"""),"Lỗi BPTT")</f>
        <v>Lỗi BPTT</v>
      </c>
      <c r="H485" s="46"/>
      <c r="I485" s="46" t="str">
        <f>IFERROR(__xludf.DUMMYFUNCTION("""COMPUTED_VALUE"""),"Bảo trì")</f>
        <v>Bảo trì</v>
      </c>
      <c r="J485" s="46" t="str">
        <f>IFERROR(__xludf.DUMMYFUNCTION("""COMPUTED_VALUE"""),"Vệ sinh")</f>
        <v>Vệ sinh</v>
      </c>
      <c r="K485" s="46"/>
      <c r="L485" s="46"/>
      <c r="M485" s="46"/>
      <c r="N485" s="46"/>
      <c r="O485" s="46"/>
      <c r="P485" s="46"/>
      <c r="Q485" s="46" t="str">
        <f>IFERROR(__xludf.DUMMYFUNCTION("""COMPUTED_VALUE"""),"Hoàn thành")</f>
        <v>Hoàn thành</v>
      </c>
      <c r="R485" s="46"/>
      <c r="S485" s="46"/>
      <c r="T485" s="46"/>
      <c r="U485" s="46"/>
      <c r="V485" s="46"/>
      <c r="W485" s="46"/>
      <c r="X485" s="46"/>
      <c r="Y485" s="46"/>
      <c r="Z485" s="46"/>
      <c r="AA485" s="46"/>
    </row>
    <row r="486">
      <c r="A486" s="55">
        <f>IFERROR(__xludf.DUMMYFUNCTION("""COMPUTED_VALUE"""),44340.42611909722)</f>
        <v>44340.42612</v>
      </c>
      <c r="B486" s="56">
        <f>IFERROR(__xludf.DUMMYFUNCTION("""COMPUTED_VALUE"""),44337.0)</f>
        <v>44337</v>
      </c>
      <c r="C486" s="59" t="str">
        <f t="shared" si="3"/>
        <v>Báo cáo muộn</v>
      </c>
      <c r="D486" s="46" t="str">
        <f>IFERROR(__xludf.DUMMYFUNCTION("""COMPUTED_VALUE"""),"Hoathv")</f>
        <v>Hoathv</v>
      </c>
      <c r="E486" s="57" t="str">
        <f>IFERROR(__xludf.DUMMYFUNCTION("""COMPUTED_VALUE"""),"5310106119")</f>
        <v>5310106119</v>
      </c>
      <c r="F486" s="46" t="str">
        <f>IFERROR(__xludf.DUMMYFUNCTION("""COMPUTED_VALUE"""),"Tổ 13 Thị trấn An Bài, huyện Quỳnh Phụ, Thái Bình")</f>
        <v>Tổ 13 Thị trấn An Bài, huyện Quỳnh Phụ, Thái Bình</v>
      </c>
      <c r="G486" s="46" t="str">
        <f>IFERROR(__xludf.DUMMYFUNCTION("""COMPUTED_VALUE"""),"Lỗi BPTT")</f>
        <v>Lỗi BPTT</v>
      </c>
      <c r="H486" s="46"/>
      <c r="I486" s="46"/>
      <c r="J486" s="46"/>
      <c r="K486" s="46" t="str">
        <f>IFERROR(__xludf.DUMMYFUNCTION("""COMPUTED_VALUE"""),"01 clamp")</f>
        <v>01 clamp</v>
      </c>
      <c r="L486" s="46"/>
      <c r="M486" s="46"/>
      <c r="N486" s="46"/>
      <c r="O486" s="46"/>
      <c r="P486" s="46"/>
      <c r="Q486" s="46" t="str">
        <f>IFERROR(__xludf.DUMMYFUNCTION("""COMPUTED_VALUE"""),"Hoàn thành")</f>
        <v>Hoàn thành</v>
      </c>
      <c r="R486" s="46"/>
      <c r="S486" s="46"/>
      <c r="T486" s="46"/>
      <c r="U486" s="46"/>
      <c r="V486" s="46"/>
      <c r="W486" s="46"/>
      <c r="X486" s="46"/>
      <c r="Y486" s="46"/>
      <c r="Z486" s="46"/>
      <c r="AA486" s="46"/>
    </row>
    <row r="487">
      <c r="A487" s="55">
        <f>IFERROR(__xludf.DUMMYFUNCTION("""COMPUTED_VALUE"""),44340.45802127315)</f>
        <v>44340.45802</v>
      </c>
      <c r="B487" s="56">
        <f>IFERROR(__xludf.DUMMYFUNCTION("""COMPUTED_VALUE"""),44340.0)</f>
        <v>44340</v>
      </c>
      <c r="C487" s="59" t="str">
        <f t="shared" si="3"/>
        <v/>
      </c>
      <c r="D487" s="46" t="str">
        <f>IFERROR(__xludf.DUMMYFUNCTION("""COMPUTED_VALUE"""),"Tuanva")</f>
        <v>Tuanva</v>
      </c>
      <c r="E487" s="57" t="str">
        <f>IFERROR(__xludf.DUMMYFUNCTION("""COMPUTED_VALUE"""),"5300380340")</f>
        <v>5300380340</v>
      </c>
      <c r="F487" s="46" t="str">
        <f>IFERROR(__xludf.DUMMYFUNCTION("""COMPUTED_VALUE"""),"Thị trấn Đoan Hùng - Phú Thọ")</f>
        <v>Thị trấn Đoan Hùng - Phú Thọ</v>
      </c>
      <c r="G487" s="46" t="str">
        <f>IFERROR(__xludf.DUMMYFUNCTION("""COMPUTED_VALUE"""),"Tiền loại nhiều,đầu đọc thẻ báo lỗi")</f>
        <v>Tiền loại nhiều,đầu đọc thẻ báo lỗi</v>
      </c>
      <c r="H487" s="46"/>
      <c r="I487" s="46"/>
      <c r="J487" s="46" t="str">
        <f>IFERROR(__xludf.DUMMYFUNCTION("""COMPUTED_VALUE"""),"Vệ sinh lại ex,load fw, cắt cạo cáp ddu")</f>
        <v>Vệ sinh lại ex,load fw, cắt cạo cáp ddu</v>
      </c>
      <c r="K487" s="46"/>
      <c r="L487" s="46"/>
      <c r="M487" s="46"/>
      <c r="N487" s="46"/>
      <c r="O487" s="46"/>
      <c r="P487" s="46"/>
      <c r="Q487" s="46" t="str">
        <f>IFERROR(__xludf.DUMMYFUNCTION("""COMPUTED_VALUE"""),"Hoàn thành")</f>
        <v>Hoàn thành</v>
      </c>
      <c r="R487" s="46"/>
      <c r="S487" s="46"/>
      <c r="T487" s="46"/>
      <c r="U487" s="46"/>
      <c r="V487" s="46"/>
      <c r="W487" s="46"/>
      <c r="X487" s="46"/>
      <c r="Y487" s="46"/>
      <c r="Z487" s="46"/>
      <c r="AA487" s="46"/>
    </row>
    <row r="488">
      <c r="A488" s="55">
        <f>IFERROR(__xludf.DUMMYFUNCTION("""COMPUTED_VALUE"""),44340.51281689815)</f>
        <v>44340.51282</v>
      </c>
      <c r="B488" s="56">
        <f>IFERROR(__xludf.DUMMYFUNCTION("""COMPUTED_VALUE"""),44340.0)</f>
        <v>44340</v>
      </c>
      <c r="C488" s="59" t="str">
        <f t="shared" si="3"/>
        <v/>
      </c>
      <c r="D488" s="46" t="str">
        <f>IFERROR(__xludf.DUMMYFUNCTION("""COMPUTED_VALUE"""),"Bannt")</f>
        <v>Bannt</v>
      </c>
      <c r="E488" s="57" t="str">
        <f>IFERROR(__xludf.DUMMYFUNCTION("""COMPUTED_VALUE"""),"5300378254")</f>
        <v>5300378254</v>
      </c>
      <c r="F488" s="46" t="str">
        <f>IFERROR(__xludf.DUMMYFUNCTION("""COMPUTED_VALUE"""),"Số 2 Láng Hạ - Q.Ba Đình - Hà Nội")</f>
        <v>Số 2 Láng Hạ - Q.Ba Đình - Hà Nội</v>
      </c>
      <c r="G488" s="46" t="str">
        <f>IFERROR(__xludf.DUMMYFUNCTION("""COMPUTED_VALUE"""),"Lỗi BPTT ")</f>
        <v>Lỗi BPTT </v>
      </c>
      <c r="H488" s="46"/>
      <c r="I488" s="46"/>
      <c r="J488" s="46" t="str">
        <f>IFERROR(__xludf.DUMMYFUNCTION("""COMPUTED_VALUE"""),"Thay thế trục đỡ dây curoa Ex1 bị dão, thay thế trục cao su miết tiền và trục gap khay 50")</f>
        <v>Thay thế trục đỡ dây curoa Ex1 bị dão, thay thế trục cao su miết tiền và trục gap khay 50</v>
      </c>
      <c r="K488" s="46" t="str">
        <f>IFERROR(__xludf.DUMMYFUNCTION("""COMPUTED_VALUE"""),"01 trục đỡ dây curoa")</f>
        <v>01 trục đỡ dây curoa</v>
      </c>
      <c r="L488" s="46" t="str">
        <f>IFERROR(__xludf.DUMMYFUNCTION("""COMPUTED_VALUE"""),"01 trục gap")</f>
        <v>01 trục gap</v>
      </c>
      <c r="M488" s="46" t="str">
        <f>IFERROR(__xludf.DUMMYFUNCTION("""COMPUTED_VALUE"""),"01 trục miết tiền")</f>
        <v>01 trục miết tiền</v>
      </c>
      <c r="N488" s="46"/>
      <c r="O488" s="46"/>
      <c r="P488" s="46"/>
      <c r="Q488" s="46" t="str">
        <f>IFERROR(__xludf.DUMMYFUNCTION("""COMPUTED_VALUE"""),"Hoàn thành")</f>
        <v>Hoàn thành</v>
      </c>
      <c r="R488" s="46"/>
      <c r="S488" s="46"/>
      <c r="T488" s="46"/>
      <c r="U488" s="46"/>
      <c r="V488" s="46"/>
      <c r="W488" s="46"/>
      <c r="X488" s="46"/>
      <c r="Y488" s="46"/>
      <c r="Z488" s="46"/>
      <c r="AA488" s="46"/>
    </row>
    <row r="489">
      <c r="A489" s="55">
        <f>IFERROR(__xludf.DUMMYFUNCTION("""COMPUTED_VALUE"""),44340.60007560185)</f>
        <v>44340.60008</v>
      </c>
      <c r="B489" s="56">
        <f>IFERROR(__xludf.DUMMYFUNCTION("""COMPUTED_VALUE"""),44336.0)</f>
        <v>44336</v>
      </c>
      <c r="C489" s="59" t="str">
        <f t="shared" si="3"/>
        <v>Báo cáo muộn</v>
      </c>
      <c r="D489" s="46" t="str">
        <f>IFERROR(__xludf.DUMMYFUNCTION("""COMPUTED_VALUE"""),"Tunt")</f>
        <v>Tunt</v>
      </c>
      <c r="E489" s="57" t="str">
        <f>IFERROR(__xludf.DUMMYFUNCTION("""COMPUTED_VALUE"""),"56HGL03518")</f>
        <v>56HGL03518</v>
      </c>
      <c r="F489" s="46" t="str">
        <f>IFERROR(__xludf.DUMMYFUNCTION("""COMPUTED_VALUE"""),"Trường Chuyên Nguyễn Văn Huyên, xã Sơn Đồng, Hoài Đức, Hà Nội")</f>
        <v>Trường Chuyên Nguyễn Văn Huyên, xã Sơn Đồng, Hoài Đức, Hà Nội</v>
      </c>
      <c r="G489" s="46" t="str">
        <f>IFERROR(__xludf.DUMMYFUNCTION("""COMPUTED_VALUE"""),"Nhập key")</f>
        <v>Nhập key</v>
      </c>
      <c r="H489" s="46"/>
      <c r="I489" s="46"/>
      <c r="J489" s="46" t="str">
        <f>IFERROR(__xludf.DUMMYFUNCTION("""COMPUTED_VALUE"""),"Nhập key, đưa máy vào hoạt động")</f>
        <v>Nhập key, đưa máy vào hoạt động</v>
      </c>
      <c r="K489" s="46"/>
      <c r="L489" s="46"/>
      <c r="M489" s="46"/>
      <c r="N489" s="46"/>
      <c r="O489" s="46"/>
      <c r="P489" s="46"/>
      <c r="Q489" s="46" t="str">
        <f>IFERROR(__xludf.DUMMYFUNCTION("""COMPUTED_VALUE"""),"Hoàn thành")</f>
        <v>Hoàn thành</v>
      </c>
      <c r="R489" s="46"/>
      <c r="S489" s="46"/>
      <c r="T489" s="46"/>
      <c r="U489" s="46"/>
      <c r="V489" s="46"/>
      <c r="W489" s="46"/>
      <c r="X489" s="46"/>
      <c r="Y489" s="46"/>
      <c r="Z489" s="46"/>
      <c r="AA489" s="46"/>
    </row>
    <row r="490">
      <c r="A490" s="55">
        <f>IFERROR(__xludf.DUMMYFUNCTION("""COMPUTED_VALUE"""),44340.651320081015)</f>
        <v>44340.65132</v>
      </c>
      <c r="B490" s="56">
        <f>IFERROR(__xludf.DUMMYFUNCTION("""COMPUTED_VALUE"""),44340.0)</f>
        <v>44340</v>
      </c>
      <c r="C490" s="59" t="str">
        <f t="shared" si="3"/>
        <v/>
      </c>
      <c r="D490" s="46" t="str">
        <f>IFERROR(__xludf.DUMMYFUNCTION("""COMPUTED_VALUE"""),"Hieppn")</f>
        <v>Hieppn</v>
      </c>
      <c r="E490" s="57" t="str">
        <f>IFERROR(__xludf.DUMMYFUNCTION("""COMPUTED_VALUE"""),"Nha may in")</f>
        <v>Nha may in</v>
      </c>
      <c r="F490" s="46" t="str">
        <f>IFERROR(__xludf.DUMMYFUNCTION("""COMPUTED_VALUE"""),"")</f>
        <v/>
      </c>
      <c r="G490" s="46" t="str">
        <f>IFERROR(__xludf.DUMMYFUNCTION("""COMPUTED_VALUE"""),"cấu hình kết nối đưa vào hoạt động")</f>
        <v>cấu hình kết nối đưa vào hoạt động</v>
      </c>
      <c r="H490" s="46"/>
      <c r="I490" s="46"/>
      <c r="J490" s="46" t="str">
        <f>IFERROR(__xludf.DUMMYFUNCTION("""COMPUTED_VALUE"""),"cấu hình kết nối đưa vào hoạt động")</f>
        <v>cấu hình kết nối đưa vào hoạt động</v>
      </c>
      <c r="K490" s="46"/>
      <c r="L490" s="46"/>
      <c r="M490" s="46"/>
      <c r="N490" s="46"/>
      <c r="O490" s="46"/>
      <c r="P490" s="46"/>
      <c r="Q490" s="46" t="str">
        <f>IFERROR(__xludf.DUMMYFUNCTION("""COMPUTED_VALUE"""),"Hoàn thành")</f>
        <v>Hoàn thành</v>
      </c>
      <c r="R490" s="46"/>
      <c r="S490" s="46"/>
      <c r="T490" s="46"/>
      <c r="U490" s="46"/>
      <c r="V490" s="46"/>
      <c r="W490" s="46"/>
      <c r="X490" s="46"/>
      <c r="Y490" s="46"/>
      <c r="Z490" s="46"/>
      <c r="AA490" s="46"/>
    </row>
    <row r="491">
      <c r="A491" s="55">
        <f>IFERROR(__xludf.DUMMYFUNCTION("""COMPUTED_VALUE"""),44341.40711561343)</f>
        <v>44341.40712</v>
      </c>
      <c r="B491" s="56">
        <f>IFERROR(__xludf.DUMMYFUNCTION("""COMPUTED_VALUE"""),44340.0)</f>
        <v>44340</v>
      </c>
      <c r="C491" s="59" t="str">
        <f t="shared" si="3"/>
        <v/>
      </c>
      <c r="D491" s="46" t="str">
        <f>IFERROR(__xludf.DUMMYFUNCTION("""COMPUTED_VALUE"""),"Bannt")</f>
        <v>Bannt</v>
      </c>
      <c r="E491" s="57" t="str">
        <f>IFERROR(__xludf.DUMMYFUNCTION("""COMPUTED_VALUE"""),"5310105856")</f>
        <v>5310105856</v>
      </c>
      <c r="F491" s="46" t="str">
        <f>IFERROR(__xludf.DUMMYFUNCTION("""COMPUTED_VALUE"""),"Thị trấn Như Quỳnh (tòa nhà 5 tầng), huyện Văn Lâm, Hưng Yên")</f>
        <v>Thị trấn Như Quỳnh (tòa nhà 5 tầng), huyện Văn Lâm, Hưng Yên</v>
      </c>
      <c r="G491" s="46" t="str">
        <f>IFERROR(__xludf.DUMMYFUNCTION("""COMPUTED_VALUE"""),"Không trả tiền khay 200")</f>
        <v>Không trả tiền khay 200</v>
      </c>
      <c r="H491" s="46"/>
      <c r="I491" s="46"/>
      <c r="J491" s="46" t="str">
        <f>IFERROR(__xludf.DUMMYFUNCTION("""COMPUTED_VALUE"""),"Thay thế trục đen, trục miền tiền khay 200")</f>
        <v>Thay thế trục đen, trục miền tiền khay 200</v>
      </c>
      <c r="K491" s="46" t="str">
        <f>IFERROR(__xludf.DUMMYFUNCTION("""COMPUTED_VALUE"""),"01 trục miết")</f>
        <v>01 trục miết</v>
      </c>
      <c r="L491" s="46" t="str">
        <f>IFERROR(__xludf.DUMMYFUNCTION("""COMPUTED_VALUE"""),"01 trục đen")</f>
        <v>01 trục đen</v>
      </c>
      <c r="M491" s="46"/>
      <c r="N491" s="46"/>
      <c r="O491" s="46"/>
      <c r="P491" s="46"/>
      <c r="Q491" s="46" t="str">
        <f>IFERROR(__xludf.DUMMYFUNCTION("""COMPUTED_VALUE"""),"Hoàn thành")</f>
        <v>Hoàn thành</v>
      </c>
      <c r="R491" s="46"/>
      <c r="S491" s="46"/>
      <c r="T491" s="46"/>
      <c r="U491" s="46"/>
      <c r="V491" s="46"/>
      <c r="W491" s="46"/>
      <c r="X491" s="46"/>
      <c r="Y491" s="46"/>
      <c r="Z491" s="46"/>
      <c r="AA491" s="46"/>
    </row>
    <row r="492">
      <c r="A492" s="55">
        <f>IFERROR(__xludf.DUMMYFUNCTION("""COMPUTED_VALUE"""),44341.40827005787)</f>
        <v>44341.40827</v>
      </c>
      <c r="B492" s="56">
        <f>IFERROR(__xludf.DUMMYFUNCTION("""COMPUTED_VALUE"""),44340.0)</f>
        <v>44340</v>
      </c>
      <c r="C492" s="59" t="str">
        <f t="shared" si="3"/>
        <v/>
      </c>
      <c r="D492" s="46" t="str">
        <f>IFERROR(__xludf.DUMMYFUNCTION("""COMPUTED_VALUE"""),"Bannt")</f>
        <v>Bannt</v>
      </c>
      <c r="E492" s="57" t="str">
        <f>IFERROR(__xludf.DUMMYFUNCTION("""COMPUTED_VALUE"""),"5300380278")</f>
        <v>5300380278</v>
      </c>
      <c r="F492" s="46" t="str">
        <f>IFERROR(__xludf.DUMMYFUNCTION("""COMPUTED_VALUE"""),"PGD Đại học Nông Nghiệp 1- Trân Quỳ- Gia Lâm")</f>
        <v>PGD Đại học Nông Nghiệp 1- Trân Quỳ- Gia Lâm</v>
      </c>
      <c r="G492" s="46" t="str">
        <f>IFERROR(__xludf.DUMMYFUNCTION("""COMPUTED_VALUE"""),"Lỗi bàn phím Opp")</f>
        <v>Lỗi bàn phím Opp</v>
      </c>
      <c r="H492" s="46"/>
      <c r="I492" s="46"/>
      <c r="J492" s="46" t="str">
        <f>IFERROR(__xludf.DUMMYFUNCTION("""COMPUTED_VALUE"""),"Chuyển chức năng vào Sop từ OPP xuất thẳng ra màn hình, hỗ trợ khách hàng nhập Master key")</f>
        <v>Chuyển chức năng vào Sop từ OPP xuất thẳng ra màn hình, hỗ trợ khách hàng nhập Master key</v>
      </c>
      <c r="K492" s="46"/>
      <c r="L492" s="46"/>
      <c r="M492" s="46"/>
      <c r="N492" s="46"/>
      <c r="O492" s="46"/>
      <c r="P492" s="46"/>
      <c r="Q492" s="46" t="str">
        <f>IFERROR(__xludf.DUMMYFUNCTION("""COMPUTED_VALUE"""),"Hoàn thành")</f>
        <v>Hoàn thành</v>
      </c>
      <c r="R492" s="46"/>
      <c r="S492" s="46"/>
      <c r="T492" s="46"/>
      <c r="U492" s="46"/>
      <c r="V492" s="46"/>
      <c r="W492" s="46"/>
      <c r="X492" s="46"/>
      <c r="Y492" s="46"/>
      <c r="Z492" s="46"/>
      <c r="AA492" s="46"/>
    </row>
    <row r="493">
      <c r="A493" s="55">
        <f>IFERROR(__xludf.DUMMYFUNCTION("""COMPUTED_VALUE"""),44341.4502636574)</f>
        <v>44341.45026</v>
      </c>
      <c r="B493" s="56">
        <f>IFERROR(__xludf.DUMMYFUNCTION("""COMPUTED_VALUE"""),44341.0)</f>
        <v>44341</v>
      </c>
      <c r="C493" s="59" t="str">
        <f t="shared" si="3"/>
        <v/>
      </c>
      <c r="D493" s="46" t="str">
        <f>IFERROR(__xludf.DUMMYFUNCTION("""COMPUTED_VALUE"""),"Bannt")</f>
        <v>Bannt</v>
      </c>
      <c r="E493" s="57" t="str">
        <f>IFERROR(__xludf.DUMMYFUNCTION("""COMPUTED_VALUE"""),"56HG707955")</f>
        <v>56HG707955</v>
      </c>
      <c r="F493" s="46" t="str">
        <f>IFERROR(__xludf.DUMMYFUNCTION("""COMPUTED_VALUE"""),"Thị Trân Đu, Huyện Phú Lương, Tỉnh Thái Nguyên")</f>
        <v>Thị Trân Đu, Huyện Phú Lương, Tỉnh Thái Nguyên</v>
      </c>
      <c r="G493" s="46" t="str">
        <f>IFERROR(__xludf.DUMMYFUNCTION("""COMPUTED_VALUE"""),"Máy không lên tiền 50, bảo trì")</f>
        <v>Máy không lên tiền 50, bảo trì</v>
      </c>
      <c r="H493" s="46"/>
      <c r="I493" s="46" t="str">
        <f>IFERROR(__xludf.DUMMYFUNCTION("""COMPUTED_VALUE"""),"Bảo trì")</f>
        <v>Bảo trì</v>
      </c>
      <c r="J493" s="46" t="str">
        <f>IFERROR(__xludf.DUMMYFUNCTION("""COMPUTED_VALUE"""),"Bảo trì bảo dưỡng ATM và bộ khay catsset")</f>
        <v>Bảo trì bảo dưỡng ATM và bộ khay catsset</v>
      </c>
      <c r="K493" s="46"/>
      <c r="L493" s="46"/>
      <c r="M493" s="46"/>
      <c r="N493" s="46"/>
      <c r="O493" s="46"/>
      <c r="P493" s="46"/>
      <c r="Q493" s="46" t="str">
        <f>IFERROR(__xludf.DUMMYFUNCTION("""COMPUTED_VALUE"""),"Hoàn thành")</f>
        <v>Hoàn thành</v>
      </c>
      <c r="R493" s="46"/>
      <c r="S493" s="46"/>
      <c r="T493" s="46"/>
      <c r="U493" s="46"/>
      <c r="V493" s="46"/>
      <c r="W493" s="46"/>
      <c r="X493" s="46"/>
      <c r="Y493" s="46"/>
      <c r="Z493" s="46"/>
      <c r="AA493" s="46"/>
    </row>
    <row r="494">
      <c r="A494" s="55">
        <f>IFERROR(__xludf.DUMMYFUNCTION("""COMPUTED_VALUE"""),44341.56895085648)</f>
        <v>44341.56895</v>
      </c>
      <c r="B494" s="56">
        <f>IFERROR(__xludf.DUMMYFUNCTION("""COMPUTED_VALUE"""),44341.0)</f>
        <v>44341</v>
      </c>
      <c r="C494" s="59" t="str">
        <f t="shared" si="3"/>
        <v/>
      </c>
      <c r="D494" s="46" t="str">
        <f>IFERROR(__xludf.DUMMYFUNCTION("""COMPUTED_VALUE"""),"Tuanva")</f>
        <v>Tuanva</v>
      </c>
      <c r="E494" s="57" t="str">
        <f>IFERROR(__xludf.DUMMYFUNCTION("""COMPUTED_VALUE"""),"5310106119")</f>
        <v>5310106119</v>
      </c>
      <c r="F494" s="46" t="str">
        <f>IFERROR(__xludf.DUMMYFUNCTION("""COMPUTED_VALUE"""),"Tổ 13 Thị trấn An Bài, huyện Quỳnh Phụ, Thái Bình")</f>
        <v>Tổ 13 Thị trấn An Bài, huyện Quỳnh Phụ, Thái Bình</v>
      </c>
      <c r="G494" s="46" t="str">
        <f>IFERROR(__xludf.DUMMYFUNCTION("""COMPUTED_VALUE"""),"Lỗi 1.7")</f>
        <v>Lỗi 1.7</v>
      </c>
      <c r="H494" s="46"/>
      <c r="I494" s="46"/>
      <c r="J494" s="46" t="str">
        <f>IFERROR(__xludf.DUMMYFUNCTION("""COMPUTED_VALUE"""),"Đứt cáp clamp, cạo lại cáp")</f>
        <v>Đứt cáp clamp, cạo lại cáp</v>
      </c>
      <c r="K494" s="46" t="str">
        <f>IFERROR(__xludf.DUMMYFUNCTION("""COMPUTED_VALUE"""),"Thay thế 01 clamp")</f>
        <v>Thay thế 01 clamp</v>
      </c>
      <c r="L494" s="46"/>
      <c r="M494" s="46"/>
      <c r="N494" s="46"/>
      <c r="O494" s="46"/>
      <c r="P494" s="46"/>
      <c r="Q494" s="46" t="str">
        <f>IFERROR(__xludf.DUMMYFUNCTION("""COMPUTED_VALUE"""),"Hoàn thành")</f>
        <v>Hoàn thành</v>
      </c>
      <c r="R494" s="46"/>
      <c r="S494" s="46"/>
      <c r="T494" s="46"/>
      <c r="U494" s="46"/>
      <c r="V494" s="46"/>
      <c r="W494" s="46"/>
      <c r="X494" s="46"/>
      <c r="Y494" s="46"/>
      <c r="Z494" s="46"/>
      <c r="AA494" s="46"/>
    </row>
    <row r="495">
      <c r="A495" s="55">
        <f>IFERROR(__xludf.DUMMYFUNCTION("""COMPUTED_VALUE"""),44341.610920694446)</f>
        <v>44341.61092</v>
      </c>
      <c r="B495" s="56">
        <f>IFERROR(__xludf.DUMMYFUNCTION("""COMPUTED_VALUE"""),44337.0)</f>
        <v>44337</v>
      </c>
      <c r="C495" s="59" t="str">
        <f t="shared" si="3"/>
        <v>Báo cáo muộn</v>
      </c>
      <c r="D495" s="46" t="str">
        <f>IFERROR(__xludf.DUMMYFUNCTION("""COMPUTED_VALUE"""),"Thangnx")</f>
        <v>Thangnx</v>
      </c>
      <c r="E495" s="57" t="str">
        <f>IFERROR(__xludf.DUMMYFUNCTION("""COMPUTED_VALUE"""),"56HG806303")</f>
        <v>56HG806303</v>
      </c>
      <c r="F495" s="46" t="str">
        <f>IFERROR(__xludf.DUMMYFUNCTION("""COMPUTED_VALUE"""),"65 Hoàng Văn Thụ, TP.Thái Nguyên")</f>
        <v>65 Hoàng Văn Thụ, TP.Thái Nguyên</v>
      </c>
      <c r="G495" s="46" t="str">
        <f>IFERROR(__xludf.DUMMYFUNCTION("""COMPUTED_VALUE"""),"Tiền loại nhiều")</f>
        <v>Tiền loại nhiều</v>
      </c>
      <c r="H495" s="46"/>
      <c r="I495" s="46" t="str">
        <f>IFERROR(__xludf.DUMMYFUNCTION("""COMPUTED_VALUE"""),"Bảo trì")</f>
        <v>Bảo trì</v>
      </c>
      <c r="J495" s="46" t="str">
        <f>IFERROR(__xludf.DUMMYFUNCTION("""COMPUTED_VALUE"""),"Vệ sinh lau chùi")</f>
        <v>Vệ sinh lau chùi</v>
      </c>
      <c r="K495" s="46"/>
      <c r="L495" s="46"/>
      <c r="M495" s="46"/>
      <c r="N495" s="46"/>
      <c r="O495" s="46"/>
      <c r="P495" s="46"/>
      <c r="Q495" s="46" t="str">
        <f>IFERROR(__xludf.DUMMYFUNCTION("""COMPUTED_VALUE"""),"Hoàn thành")</f>
        <v>Hoàn thành</v>
      </c>
      <c r="R495" s="46"/>
      <c r="S495" s="46"/>
      <c r="T495" s="46"/>
      <c r="U495" s="46"/>
      <c r="V495" s="46"/>
      <c r="W495" s="46"/>
      <c r="X495" s="46"/>
      <c r="Y495" s="46"/>
      <c r="Z495" s="46"/>
      <c r="AA495" s="46"/>
    </row>
    <row r="496">
      <c r="A496" s="55">
        <f>IFERROR(__xludf.DUMMYFUNCTION("""COMPUTED_VALUE"""),44341.618650115735)</f>
        <v>44341.61865</v>
      </c>
      <c r="B496" s="56">
        <f>IFERROR(__xludf.DUMMYFUNCTION("""COMPUTED_VALUE"""),44341.0)</f>
        <v>44341</v>
      </c>
      <c r="C496" s="59" t="str">
        <f t="shared" si="3"/>
        <v/>
      </c>
      <c r="D496" s="46" t="str">
        <f>IFERROR(__xludf.DUMMYFUNCTION("""COMPUTED_VALUE"""),"Hieppn ")</f>
        <v>Hieppn </v>
      </c>
      <c r="E496" s="57" t="str">
        <f>IFERROR(__xludf.DUMMYFUNCTION("""COMPUTED_VALUE"""),"5310181577")</f>
        <v>5310181577</v>
      </c>
      <c r="F496" s="46" t="str">
        <f>IFERROR(__xludf.DUMMYFUNCTION("""COMPUTED_VALUE"""),"Xóm Thuần Pháp, xã Điềm Thụy, huyện Phú Bình, tỉnh Thái Nguyên")</f>
        <v>Xóm Thuần Pháp, xã Điềm Thụy, huyện Phú Bình, tỉnh Thái Nguyên</v>
      </c>
      <c r="G496" s="46" t="str">
        <f>IFERROR(__xludf.DUMMYFUNCTION("""COMPUTED_VALUE"""),"Lỗi bộ trả tiền")</f>
        <v>Lỗi bộ trả tiền</v>
      </c>
      <c r="H496" s="46"/>
      <c r="I496" s="46"/>
      <c r="J496" s="46" t="str">
        <f>IFERROR(__xludf.DUMMYFUNCTION("""COMPUTED_VALUE"""),"Vệ sinh bộ trả tiền và hướng dẫn cán bộ vận hành máy ")</f>
        <v>Vệ sinh bộ trả tiền và hướng dẫn cán bộ vận hành máy </v>
      </c>
      <c r="K496" s="46"/>
      <c r="L496" s="46"/>
      <c r="M496" s="46"/>
      <c r="N496" s="46"/>
      <c r="O496" s="46"/>
      <c r="P496" s="46"/>
      <c r="Q496" s="46" t="str">
        <f>IFERROR(__xludf.DUMMYFUNCTION("""COMPUTED_VALUE"""),"Hoàn thành")</f>
        <v>Hoàn thành</v>
      </c>
      <c r="R496" s="46"/>
      <c r="S496" s="46"/>
      <c r="T496" s="46"/>
      <c r="U496" s="46"/>
      <c r="V496" s="46"/>
      <c r="W496" s="46"/>
      <c r="X496" s="46"/>
      <c r="Y496" s="46"/>
      <c r="Z496" s="46"/>
      <c r="AA496" s="46"/>
    </row>
    <row r="497">
      <c r="A497" s="55">
        <f>IFERROR(__xludf.DUMMYFUNCTION("""COMPUTED_VALUE"""),44341.627341747684)</f>
        <v>44341.62734</v>
      </c>
      <c r="B497" s="56">
        <f>IFERROR(__xludf.DUMMYFUNCTION("""COMPUTED_VALUE"""),44341.0)</f>
        <v>44341</v>
      </c>
      <c r="C497" s="59" t="str">
        <f t="shared" si="3"/>
        <v/>
      </c>
      <c r="D497" s="46" t="str">
        <f>IFERROR(__xludf.DUMMYFUNCTION("""COMPUTED_VALUE"""),"Hieppn ")</f>
        <v>Hieppn </v>
      </c>
      <c r="E497" s="57" t="str">
        <f>IFERROR(__xludf.DUMMYFUNCTION("""COMPUTED_VALUE"""),"5310183240")</f>
        <v>5310183240</v>
      </c>
      <c r="F497" s="46" t="str">
        <f>IFERROR(__xludf.DUMMYFUNCTION("""COMPUTED_VALUE"""),"Xóm Gió, xã Ký Phú, huyện Đại Từ, tỉnh Thái Nguyên")</f>
        <v>Xóm Gió, xã Ký Phú, huyện Đại Từ, tỉnh Thái Nguyên</v>
      </c>
      <c r="G497" s="46" t="str">
        <f>IFERROR(__xludf.DUMMYFUNCTION("""COMPUTED_VALUE"""),"Rác nhiều")</f>
        <v>Rác nhiều</v>
      </c>
      <c r="H497" s="46"/>
      <c r="I497" s="46"/>
      <c r="J497" s="46" t="str">
        <f>IFERROR(__xludf.DUMMYFUNCTION("""COMPUTED_VALUE"""),"Chỉnh ghép và vệ sinh bộ trả tiền")</f>
        <v>Chỉnh ghép và vệ sinh bộ trả tiền</v>
      </c>
      <c r="K497" s="46"/>
      <c r="L497" s="46"/>
      <c r="M497" s="46"/>
      <c r="N497" s="46"/>
      <c r="O497" s="46"/>
      <c r="P497" s="46"/>
      <c r="Q497" s="46" t="str">
        <f>IFERROR(__xludf.DUMMYFUNCTION("""COMPUTED_VALUE"""),"Hoàn thành")</f>
        <v>Hoàn thành</v>
      </c>
      <c r="R497" s="46"/>
      <c r="S497" s="46"/>
      <c r="T497" s="46"/>
      <c r="U497" s="46"/>
      <c r="V497" s="46"/>
      <c r="W497" s="46"/>
      <c r="X497" s="46"/>
      <c r="Y497" s="46"/>
      <c r="Z497" s="46"/>
      <c r="AA497" s="46"/>
    </row>
    <row r="498">
      <c r="A498" s="55">
        <f>IFERROR(__xludf.DUMMYFUNCTION("""COMPUTED_VALUE"""),44341.64457870371)</f>
        <v>44341.64458</v>
      </c>
      <c r="B498" s="56">
        <f>IFERROR(__xludf.DUMMYFUNCTION("""COMPUTED_VALUE"""),44341.0)</f>
        <v>44341</v>
      </c>
      <c r="C498" s="59" t="str">
        <f t="shared" si="3"/>
        <v/>
      </c>
      <c r="D498" s="46" t="str">
        <f>IFERROR(__xludf.DUMMYFUNCTION("""COMPUTED_VALUE"""),"Hoathv")</f>
        <v>Hoathv</v>
      </c>
      <c r="E498" s="57" t="str">
        <f>IFERROR(__xludf.DUMMYFUNCTION("""COMPUTED_VALUE"""),"5310107167")</f>
        <v>5310107167</v>
      </c>
      <c r="F498" s="46" t="str">
        <f>IFERROR(__xludf.DUMMYFUNCTION("""COMPUTED_VALUE"""),"Phố 1B thị trấn Yên Ninh, huyện Yên Khánh, Ninh Bình")</f>
        <v>Phố 1B thị trấn Yên Ninh, huyện Yên Khánh, Ninh Bình</v>
      </c>
      <c r="G498" s="46" t="str">
        <f>IFERROR(__xludf.DUMMYFUNCTION("""COMPUTED_VALUE"""),"Lỗi BPTT")</f>
        <v>Lỗi BPTT</v>
      </c>
      <c r="H498" s="46"/>
      <c r="I498" s="46"/>
      <c r="J498" s="46"/>
      <c r="K498" s="46" t="str">
        <f>IFERROR(__xludf.DUMMYFUNCTION("""COMPUTED_VALUE"""),"01 extractor")</f>
        <v>01 extractor</v>
      </c>
      <c r="L498" s="46" t="str">
        <f>IFERROR(__xludf.DUMMYFUNCTION("""COMPUTED_VALUE"""),"01 ddu")</f>
        <v>01 ddu</v>
      </c>
      <c r="M498" s="46"/>
      <c r="N498" s="46"/>
      <c r="O498" s="46"/>
      <c r="P498" s="46"/>
      <c r="Q498" s="46" t="str">
        <f>IFERROR(__xludf.DUMMYFUNCTION("""COMPUTED_VALUE"""),"Hoàn thành")</f>
        <v>Hoàn thành</v>
      </c>
      <c r="R498" s="46"/>
      <c r="S498" s="46"/>
      <c r="T498" s="46"/>
      <c r="U498" s="46"/>
      <c r="V498" s="46"/>
      <c r="W498" s="46"/>
      <c r="X498" s="46"/>
      <c r="Y498" s="46"/>
      <c r="Z498" s="46"/>
      <c r="AA498" s="46"/>
    </row>
    <row r="499">
      <c r="A499" s="55">
        <f>IFERROR(__xludf.DUMMYFUNCTION("""COMPUTED_VALUE"""),44342.33464509259)</f>
        <v>44342.33465</v>
      </c>
      <c r="B499" s="56">
        <f>IFERROR(__xludf.DUMMYFUNCTION("""COMPUTED_VALUE"""),44329.0)</f>
        <v>44329</v>
      </c>
      <c r="C499" s="59" t="str">
        <f t="shared" si="3"/>
        <v>Báo cáo muộn</v>
      </c>
      <c r="D499" s="46" t="str">
        <f>IFERROR(__xludf.DUMMYFUNCTION("""COMPUTED_VALUE"""),"thuongd")</f>
        <v>thuongd</v>
      </c>
      <c r="E499" s="57" t="str">
        <f>IFERROR(__xludf.DUMMYFUNCTION("""COMPUTED_VALUE"""),"5300381656")</f>
        <v>5300381656</v>
      </c>
      <c r="F499" s="46" t="str">
        <f>IFERROR(__xludf.DUMMYFUNCTION("""COMPUTED_VALUE"""),"Khối 1 - Thị trấn Hoàng Mai - Quỳnh Lưu - Nghệ An")</f>
        <v>Khối 1 - Thị trấn Hoàng Mai - Quỳnh Lưu - Nghệ An</v>
      </c>
      <c r="G499" s="46" t="str">
        <f>IFERROR(__xludf.DUMMYFUNCTION("""COMPUTED_VALUE"""),"đầu đọc thẻ")</f>
        <v>đầu đọc thẻ</v>
      </c>
      <c r="H499" s="46"/>
      <c r="I499" s="46"/>
      <c r="J499" s="46" t="str">
        <f>IFERROR(__xludf.DUMMYFUNCTION("""COMPUTED_VALUE"""),"thay đầu từ")</f>
        <v>thay đầu từ</v>
      </c>
      <c r="K499" s="46"/>
      <c r="L499" s="46"/>
      <c r="M499" s="46"/>
      <c r="N499" s="46"/>
      <c r="O499" s="46"/>
      <c r="P499" s="46"/>
      <c r="Q499" s="46" t="str">
        <f>IFERROR(__xludf.DUMMYFUNCTION("""COMPUTED_VALUE"""),"Hoàn thành")</f>
        <v>Hoàn thành</v>
      </c>
      <c r="R499" s="46"/>
      <c r="S499" s="46"/>
      <c r="T499" s="46"/>
      <c r="U499" s="46"/>
      <c r="V499" s="46"/>
      <c r="W499" s="46"/>
      <c r="X499" s="46"/>
      <c r="Y499" s="46"/>
      <c r="Z499" s="46"/>
      <c r="AA499" s="46"/>
    </row>
    <row r="500">
      <c r="A500" s="55">
        <f>IFERROR(__xludf.DUMMYFUNCTION("""COMPUTED_VALUE"""),44342.335426516205)</f>
        <v>44342.33543</v>
      </c>
      <c r="B500" s="56">
        <f>IFERROR(__xludf.DUMMYFUNCTION("""COMPUTED_VALUE"""),44329.0)</f>
        <v>44329</v>
      </c>
      <c r="C500" s="59" t="str">
        <f t="shared" si="3"/>
        <v>Báo cáo muộn</v>
      </c>
      <c r="D500" s="46" t="str">
        <f>IFERROR(__xludf.DUMMYFUNCTION("""COMPUTED_VALUE"""),"thuongd")</f>
        <v>thuongd</v>
      </c>
      <c r="E500" s="57" t="str">
        <f>IFERROR(__xludf.DUMMYFUNCTION("""COMPUTED_VALUE"""),"5300381741")</f>
        <v>5300381741</v>
      </c>
      <c r="F500" s="46" t="str">
        <f>IFERROR(__xludf.DUMMYFUNCTION("""COMPUTED_VALUE"""),"Thị trấn Còng, huyện Tĩnh Gia, Thanh Hóa")</f>
        <v>Thị trấn Còng, huyện Tĩnh Gia, Thanh Hóa</v>
      </c>
      <c r="G500" s="46" t="str">
        <f>IFERROR(__xludf.DUMMYFUNCTION("""COMPUTED_VALUE"""),"Lỗi 1-9")</f>
        <v>Lỗi 1-9</v>
      </c>
      <c r="H500" s="46"/>
      <c r="I500" s="46"/>
      <c r="J500" s="46" t="str">
        <f>IFERROR(__xludf.DUMMYFUNCTION("""COMPUTED_VALUE"""),"thay Pre")</f>
        <v>thay Pre</v>
      </c>
      <c r="K500" s="46"/>
      <c r="L500" s="46"/>
      <c r="M500" s="46"/>
      <c r="N500" s="46"/>
      <c r="O500" s="46"/>
      <c r="P500" s="46"/>
      <c r="Q500" s="46" t="str">
        <f>IFERROR(__xludf.DUMMYFUNCTION("""COMPUTED_VALUE"""),"Hoàn thành")</f>
        <v>Hoàn thành</v>
      </c>
      <c r="R500" s="46"/>
      <c r="S500" s="46"/>
      <c r="T500" s="46"/>
      <c r="U500" s="46"/>
      <c r="V500" s="46"/>
      <c r="W500" s="46"/>
      <c r="X500" s="46"/>
      <c r="Y500" s="46"/>
      <c r="Z500" s="46"/>
      <c r="AA500" s="46"/>
    </row>
    <row r="501">
      <c r="A501" s="55">
        <f>IFERROR(__xludf.DUMMYFUNCTION("""COMPUTED_VALUE"""),44342.337268414354)</f>
        <v>44342.33727</v>
      </c>
      <c r="B501" s="56">
        <f>IFERROR(__xludf.DUMMYFUNCTION("""COMPUTED_VALUE"""),44334.0)</f>
        <v>44334</v>
      </c>
      <c r="C501" s="59" t="str">
        <f t="shared" si="3"/>
        <v>Báo cáo muộn</v>
      </c>
      <c r="D501" s="46" t="str">
        <f>IFERROR(__xludf.DUMMYFUNCTION("""COMPUTED_VALUE"""),"thuongd")</f>
        <v>thuongd</v>
      </c>
      <c r="E501" s="57" t="str">
        <f>IFERROR(__xludf.DUMMYFUNCTION("""COMPUTED_VALUE"""),"5300381712")</f>
        <v>5300381712</v>
      </c>
      <c r="F501" s="46" t="str">
        <f>IFERROR(__xludf.DUMMYFUNCTION("""COMPUTED_VALUE"""),"42 Trần Phú - TX. Hồng Lĩnh- Hà Tĩnh")</f>
        <v>42 Trần Phú - TX. Hồng Lĩnh- Hà Tĩnh</v>
      </c>
      <c r="G501" s="46" t="str">
        <f>IFERROR(__xludf.DUMMYFUNCTION("""COMPUTED_VALUE"""),"đầu đọc thẻ")</f>
        <v>đầu đọc thẻ</v>
      </c>
      <c r="H501" s="46"/>
      <c r="I501" s="46"/>
      <c r="J501" s="46" t="str">
        <f>IFERROR(__xludf.DUMMYFUNCTION("""COMPUTED_VALUE"""),"thay đầu từ")</f>
        <v>thay đầu từ</v>
      </c>
      <c r="K501" s="46"/>
      <c r="L501" s="46"/>
      <c r="M501" s="46"/>
      <c r="N501" s="46"/>
      <c r="O501" s="46"/>
      <c r="P501" s="46"/>
      <c r="Q501" s="46" t="str">
        <f>IFERROR(__xludf.DUMMYFUNCTION("""COMPUTED_VALUE"""),"Hoàn thành")</f>
        <v>Hoàn thành</v>
      </c>
      <c r="R501" s="46"/>
      <c r="S501" s="46"/>
      <c r="T501" s="46"/>
      <c r="U501" s="46"/>
      <c r="V501" s="46"/>
      <c r="W501" s="46"/>
      <c r="X501" s="46"/>
      <c r="Y501" s="46"/>
      <c r="Z501" s="46"/>
      <c r="AA501" s="46"/>
    </row>
    <row r="502">
      <c r="A502" s="55">
        <f>IFERROR(__xludf.DUMMYFUNCTION("""COMPUTED_VALUE"""),44342.33789203704)</f>
        <v>44342.33789</v>
      </c>
      <c r="B502" s="56">
        <f>IFERROR(__xludf.DUMMYFUNCTION("""COMPUTED_VALUE"""),44335.0)</f>
        <v>44335</v>
      </c>
      <c r="C502" s="59" t="str">
        <f t="shared" si="3"/>
        <v>Báo cáo muộn</v>
      </c>
      <c r="D502" s="46" t="str">
        <f>IFERROR(__xludf.DUMMYFUNCTION("""COMPUTED_VALUE"""),"thuongd")</f>
        <v>thuongd</v>
      </c>
      <c r="E502" s="57" t="str">
        <f>IFERROR(__xludf.DUMMYFUNCTION("""COMPUTED_VALUE"""),"5310180916")</f>
        <v>5310180916</v>
      </c>
      <c r="F502" s="46" t="str">
        <f>IFERROR(__xludf.DUMMYFUNCTION("""COMPUTED_VALUE"""),"Xóm 11, xã Quang Sơn, huyện Đô Lương, tỉnh Nghệ An")</f>
        <v>Xóm 11, xã Quang Sơn, huyện Đô Lương, tỉnh Nghệ An</v>
      </c>
      <c r="G502" s="46" t="str">
        <f>IFERROR(__xludf.DUMMYFUNCTION("""COMPUTED_VALUE"""),"bảo trì")</f>
        <v>bảo trì</v>
      </c>
      <c r="H502" s="46"/>
      <c r="I502" s="46"/>
      <c r="J502" s="46" t="str">
        <f>IFERROR(__xludf.DUMMYFUNCTION("""COMPUTED_VALUE"""),"Vệ sinh atm")</f>
        <v>Vệ sinh atm</v>
      </c>
      <c r="K502" s="46"/>
      <c r="L502" s="46"/>
      <c r="M502" s="46"/>
      <c r="N502" s="46"/>
      <c r="O502" s="46"/>
      <c r="P502" s="46"/>
      <c r="Q502" s="46" t="str">
        <f>IFERROR(__xludf.DUMMYFUNCTION("""COMPUTED_VALUE"""),"Hoàn thành")</f>
        <v>Hoàn thành</v>
      </c>
      <c r="R502" s="46"/>
      <c r="S502" s="46"/>
      <c r="T502" s="46"/>
      <c r="U502" s="46"/>
      <c r="V502" s="46"/>
      <c r="W502" s="46"/>
      <c r="X502" s="46"/>
      <c r="Y502" s="46"/>
      <c r="Z502" s="46"/>
      <c r="AA502" s="46"/>
    </row>
    <row r="503">
      <c r="A503" s="55">
        <f>IFERROR(__xludf.DUMMYFUNCTION("""COMPUTED_VALUE"""),44342.33839283565)</f>
        <v>44342.33839</v>
      </c>
      <c r="B503" s="56">
        <f>IFERROR(__xludf.DUMMYFUNCTION("""COMPUTED_VALUE"""),44335.0)</f>
        <v>44335</v>
      </c>
      <c r="C503" s="59" t="str">
        <f t="shared" si="3"/>
        <v>Báo cáo muộn</v>
      </c>
      <c r="D503" s="46" t="str">
        <f>IFERROR(__xludf.DUMMYFUNCTION("""COMPUTED_VALUE"""),"thuongd")</f>
        <v>thuongd</v>
      </c>
      <c r="E503" s="57" t="str">
        <f>IFERROR(__xludf.DUMMYFUNCTION("""COMPUTED_VALUE"""),"5310182742")</f>
        <v>5310182742</v>
      </c>
      <c r="F503" s="46" t="str">
        <f>IFERROR(__xludf.DUMMYFUNCTION("""COMPUTED_VALUE"""),"Xóm 11, xã Tràng Sơn, huyện Đô Lương, tỉnh Nghệ An")</f>
        <v>Xóm 11, xã Tràng Sơn, huyện Đô Lương, tỉnh Nghệ An</v>
      </c>
      <c r="G503" s="46" t="str">
        <f>IFERROR(__xludf.DUMMYFUNCTION("""COMPUTED_VALUE"""),"Bảo trì")</f>
        <v>Bảo trì</v>
      </c>
      <c r="H503" s="46"/>
      <c r="I503" s="46"/>
      <c r="J503" s="46" t="str">
        <f>IFERROR(__xludf.DUMMYFUNCTION("""COMPUTED_VALUE"""),"Vệ sinh máy")</f>
        <v>Vệ sinh máy</v>
      </c>
      <c r="K503" s="46"/>
      <c r="L503" s="46"/>
      <c r="M503" s="46"/>
      <c r="N503" s="46"/>
      <c r="O503" s="46"/>
      <c r="P503" s="46"/>
      <c r="Q503" s="46" t="str">
        <f>IFERROR(__xludf.DUMMYFUNCTION("""COMPUTED_VALUE"""),"Hoàn thành")</f>
        <v>Hoàn thành</v>
      </c>
      <c r="R503" s="46"/>
      <c r="S503" s="46"/>
      <c r="T503" s="46"/>
      <c r="U503" s="46"/>
      <c r="V503" s="46"/>
      <c r="W503" s="46"/>
      <c r="X503" s="46"/>
      <c r="Y503" s="46"/>
      <c r="Z503" s="46"/>
      <c r="AA503" s="46"/>
    </row>
    <row r="504">
      <c r="A504" s="55">
        <f>IFERROR(__xludf.DUMMYFUNCTION("""COMPUTED_VALUE"""),44342.33884703704)</f>
        <v>44342.33885</v>
      </c>
      <c r="B504" s="56">
        <f>IFERROR(__xludf.DUMMYFUNCTION("""COMPUTED_VALUE"""),44341.0)</f>
        <v>44341</v>
      </c>
      <c r="C504" s="59" t="str">
        <f t="shared" si="3"/>
        <v/>
      </c>
      <c r="D504" s="46" t="str">
        <f>IFERROR(__xludf.DUMMYFUNCTION("""COMPUTED_VALUE"""),"thuongd")</f>
        <v>thuongd</v>
      </c>
      <c r="E504" s="57" t="str">
        <f>IFERROR(__xludf.DUMMYFUNCTION("""COMPUTED_VALUE"""),"5300381791")</f>
        <v>5300381791</v>
      </c>
      <c r="F504" s="46" t="str">
        <f>IFERROR(__xludf.DUMMYFUNCTION("""COMPUTED_VALUE"""),"Khối 4, Thị trấn Diễn Châu, H.Diễn Châu, Nghệ An")</f>
        <v>Khối 4, Thị trấn Diễn Châu, H.Diễn Châu, Nghệ An</v>
      </c>
      <c r="G504" s="46" t="str">
        <f>IFERROR(__xludf.DUMMYFUNCTION("""COMPUTED_VALUE"""),"lỗi bptt")</f>
        <v>lỗi bptt</v>
      </c>
      <c r="H504" s="46"/>
      <c r="I504" s="46"/>
      <c r="J504" s="46" t="str">
        <f>IFERROR(__xludf.DUMMYFUNCTION("""COMPUTED_VALUE"""),"thay Pre")</f>
        <v>thay Pre</v>
      </c>
      <c r="K504" s="46"/>
      <c r="L504" s="46"/>
      <c r="M504" s="46"/>
      <c r="N504" s="46"/>
      <c r="O504" s="46"/>
      <c r="P504" s="46"/>
      <c r="Q504" s="46" t="str">
        <f>IFERROR(__xludf.DUMMYFUNCTION("""COMPUTED_VALUE"""),"Hoàn thành")</f>
        <v>Hoàn thành</v>
      </c>
      <c r="R504" s="46"/>
      <c r="S504" s="46"/>
      <c r="T504" s="46"/>
      <c r="U504" s="46"/>
      <c r="V504" s="46"/>
      <c r="W504" s="46"/>
      <c r="X504" s="46"/>
      <c r="Y504" s="46"/>
      <c r="Z504" s="46"/>
      <c r="AA504" s="46"/>
    </row>
    <row r="505">
      <c r="A505" s="55">
        <f>IFERROR(__xludf.DUMMYFUNCTION("""COMPUTED_VALUE"""),44342.375624328706)</f>
        <v>44342.37562</v>
      </c>
      <c r="B505" s="56">
        <f>IFERROR(__xludf.DUMMYFUNCTION("""COMPUTED_VALUE"""),44340.0)</f>
        <v>44340</v>
      </c>
      <c r="C505" s="59" t="str">
        <f t="shared" si="3"/>
        <v>Báo cáo muộn</v>
      </c>
      <c r="D505" s="46" t="str">
        <f>IFERROR(__xludf.DUMMYFUNCTION("""COMPUTED_VALUE"""),"thangnx")</f>
        <v>thangnx</v>
      </c>
      <c r="E505" s="57" t="str">
        <f>IFERROR(__xludf.DUMMYFUNCTION("""COMPUTED_VALUE"""),"5300380461")</f>
        <v>5300380461</v>
      </c>
      <c r="F505" s="46" t="str">
        <f>IFERROR(__xludf.DUMMYFUNCTION("""COMPUTED_VALUE"""),"Thị trấn Sóc Sơn, huyện Sóc Sơn")</f>
        <v>Thị trấn Sóc Sơn, huyện Sóc Sơn</v>
      </c>
      <c r="G505" s="46" t="str">
        <f>IFERROR(__xludf.DUMMYFUNCTION("""COMPUTED_VALUE"""),"Lỗi khay 100 báo missing")</f>
        <v>Lỗi khay 100 báo missing</v>
      </c>
      <c r="H505" s="46"/>
      <c r="I505" s="46"/>
      <c r="J505" s="46" t="str">
        <f>IFERROR(__xludf.DUMMYFUNCTION("""COMPUTED_VALUE"""),"Do bộ khay thiếu khay 50, thêm khay 50 và load tsop")</f>
        <v>Do bộ khay thiếu khay 50, thêm khay 50 và load tsop</v>
      </c>
      <c r="K505" s="46"/>
      <c r="L505" s="46"/>
      <c r="M505" s="46"/>
      <c r="N505" s="46"/>
      <c r="O505" s="46"/>
      <c r="P505" s="46"/>
      <c r="Q505" s="46" t="str">
        <f>IFERROR(__xludf.DUMMYFUNCTION("""COMPUTED_VALUE"""),"Hoàn thành")</f>
        <v>Hoàn thành</v>
      </c>
      <c r="R505" s="46"/>
      <c r="S505" s="46"/>
      <c r="T505" s="46"/>
      <c r="U505" s="46"/>
      <c r="V505" s="46"/>
      <c r="W505" s="46"/>
      <c r="X505" s="46"/>
      <c r="Y505" s="46"/>
      <c r="Z505" s="46"/>
      <c r="AA505" s="46"/>
    </row>
    <row r="506">
      <c r="A506" s="55">
        <f>IFERROR(__xludf.DUMMYFUNCTION("""COMPUTED_VALUE"""),44342.3768490625)</f>
        <v>44342.37685</v>
      </c>
      <c r="B506" s="56">
        <f>IFERROR(__xludf.DUMMYFUNCTION("""COMPUTED_VALUE"""),44341.0)</f>
        <v>44341</v>
      </c>
      <c r="C506" s="59" t="str">
        <f t="shared" si="3"/>
        <v/>
      </c>
      <c r="D506" s="46" t="str">
        <f>IFERROR(__xludf.DUMMYFUNCTION("""COMPUTED_VALUE"""),"thangnx")</f>
        <v>thangnx</v>
      </c>
      <c r="E506" s="57" t="str">
        <f>IFERROR(__xludf.DUMMYFUNCTION("""COMPUTED_VALUE"""),"5300381493")</f>
        <v>5300381493</v>
      </c>
      <c r="F506" s="46" t="str">
        <f>IFERROR(__xludf.DUMMYFUNCTION("""COMPUTED_VALUE"""),"Thị trấn Cổ Lễ, huyện Trực Ninh, Nam Định")</f>
        <v>Thị trấn Cổ Lễ, huyện Trực Ninh, Nam Định</v>
      </c>
      <c r="G506" s="46" t="str">
        <f>IFERROR(__xludf.DUMMYFUNCTION("""COMPUTED_VALUE"""),"Lỗi 2-5")</f>
        <v>Lỗi 2-5</v>
      </c>
      <c r="H506" s="46"/>
      <c r="I506" s="46"/>
      <c r="J506" s="46"/>
      <c r="K506" s="46" t="str">
        <f>IFERROR(__xludf.DUMMYFUNCTION("""COMPUTED_VALUE"""),"04 dây cuaroa presenter")</f>
        <v>04 dây cuaroa presenter</v>
      </c>
      <c r="L506" s="46" t="str">
        <f>IFERROR(__xludf.DUMMYFUNCTION("""COMPUTED_VALUE"""),"02 dây cuaroa extractor")</f>
        <v>02 dây cuaroa extractor</v>
      </c>
      <c r="M506" s="46" t="str">
        <f>IFERROR(__xludf.DUMMYFUNCTION("""COMPUTED_VALUE"""),"02 gương extractor")</f>
        <v>02 gương extractor</v>
      </c>
      <c r="N506" s="46"/>
      <c r="O506" s="46"/>
      <c r="P506" s="46"/>
      <c r="Q506" s="46" t="str">
        <f>IFERROR(__xludf.DUMMYFUNCTION("""COMPUTED_VALUE"""),"Hoàn thành")</f>
        <v>Hoàn thành</v>
      </c>
      <c r="R506" s="46"/>
      <c r="S506" s="46"/>
      <c r="T506" s="46"/>
      <c r="U506" s="46"/>
      <c r="V506" s="46"/>
      <c r="W506" s="46"/>
      <c r="X506" s="46"/>
      <c r="Y506" s="46"/>
      <c r="Z506" s="46"/>
      <c r="AA506" s="46"/>
    </row>
    <row r="507">
      <c r="A507" s="55">
        <f>IFERROR(__xludf.DUMMYFUNCTION("""COMPUTED_VALUE"""),44342.403331168985)</f>
        <v>44342.40333</v>
      </c>
      <c r="B507" s="56">
        <f>IFERROR(__xludf.DUMMYFUNCTION("""COMPUTED_VALUE"""),44341.0)</f>
        <v>44341</v>
      </c>
      <c r="C507" s="59" t="str">
        <f t="shared" si="3"/>
        <v/>
      </c>
      <c r="D507" s="46" t="str">
        <f>IFERROR(__xludf.DUMMYFUNCTION("""COMPUTED_VALUE"""),"Tunt")</f>
        <v>Tunt</v>
      </c>
      <c r="E507" s="57" t="str">
        <f>IFERROR(__xludf.DUMMYFUNCTION("""COMPUTED_VALUE"""),"5300380747")</f>
        <v>5300380747</v>
      </c>
      <c r="F507" s="46" t="str">
        <f>IFERROR(__xludf.DUMMYFUNCTION("""COMPUTED_VALUE"""),"Số 9 Nguyễn Cảnh Chân - Ba Đình - Hà Nội")</f>
        <v>Số 9 Nguyễn Cảnh Chân - Ba Đình - Hà Nội</v>
      </c>
      <c r="G507" s="46" t="str">
        <f>IFERROR(__xludf.DUMMYFUNCTION("""COMPUTED_VALUE"""),"Lỗi máy in biên lai")</f>
        <v>Lỗi máy in biên lai</v>
      </c>
      <c r="H507" s="46"/>
      <c r="I507" s="46"/>
      <c r="J507" s="46" t="str">
        <f>IFERROR(__xludf.DUMMYFUNCTION("""COMPUTED_VALUE"""),"Vê sinh")</f>
        <v>Vê sinh</v>
      </c>
      <c r="K507" s="46"/>
      <c r="L507" s="46"/>
      <c r="M507" s="46"/>
      <c r="N507" s="46"/>
      <c r="O507" s="46"/>
      <c r="P507" s="46"/>
      <c r="Q507" s="46" t="str">
        <f>IFERROR(__xludf.DUMMYFUNCTION("""COMPUTED_VALUE"""),"Hoàn thành")</f>
        <v>Hoàn thành</v>
      </c>
      <c r="R507" s="46"/>
      <c r="S507" s="46"/>
      <c r="T507" s="46"/>
      <c r="U507" s="46"/>
      <c r="V507" s="46"/>
      <c r="W507" s="46"/>
      <c r="X507" s="46"/>
      <c r="Y507" s="46"/>
      <c r="Z507" s="46"/>
      <c r="AA507" s="46"/>
    </row>
    <row r="508">
      <c r="A508" s="55">
        <f>IFERROR(__xludf.DUMMYFUNCTION("""COMPUTED_VALUE"""),44342.42501443287)</f>
        <v>44342.42501</v>
      </c>
      <c r="B508" s="56">
        <f>IFERROR(__xludf.DUMMYFUNCTION("""COMPUTED_VALUE"""),44342.0)</f>
        <v>44342</v>
      </c>
      <c r="C508" s="59" t="str">
        <f t="shared" si="3"/>
        <v/>
      </c>
      <c r="D508" s="46" t="str">
        <f>IFERROR(__xludf.DUMMYFUNCTION("""COMPUTED_VALUE"""),"Duclb")</f>
        <v>Duclb</v>
      </c>
      <c r="E508" s="57" t="str">
        <f>IFERROR(__xludf.DUMMYFUNCTION("""COMPUTED_VALUE"""),"5300378281")</f>
        <v>5300378281</v>
      </c>
      <c r="F508" s="46" t="str">
        <f>IFERROR(__xludf.DUMMYFUNCTION("""COMPUTED_VALUE"""),"Thị trấn Hoà Mạc - H. Duy Tiên - Hà Nam")</f>
        <v>Thị trấn Hoà Mạc - H. Duy Tiên - Hà Nam</v>
      </c>
      <c r="G508" s="46" t="str">
        <f>IFERROR(__xludf.DUMMYFUNCTION("""COMPUTED_VALUE"""),"Lỗi opp")</f>
        <v>Lỗi opp</v>
      </c>
      <c r="H508" s="46"/>
      <c r="I508" s="46"/>
      <c r="J508" s="46" t="str">
        <f>IFERROR(__xludf.DUMMYFUNCTION("""COMPUTED_VALUE"""),"Rút dây rj 45 của opp")</f>
        <v>Rút dây rj 45 của opp</v>
      </c>
      <c r="K508" s="46"/>
      <c r="L508" s="46"/>
      <c r="M508" s="46"/>
      <c r="N508" s="46"/>
      <c r="O508" s="46"/>
      <c r="P508" s="46"/>
      <c r="Q508" s="46" t="str">
        <f>IFERROR(__xludf.DUMMYFUNCTION("""COMPUTED_VALUE"""),"Hoàn thành")</f>
        <v>Hoàn thành</v>
      </c>
      <c r="R508" s="46"/>
      <c r="S508" s="46"/>
      <c r="T508" s="46"/>
      <c r="U508" s="46"/>
      <c r="V508" s="46"/>
      <c r="W508" s="46"/>
      <c r="X508" s="46"/>
      <c r="Y508" s="46"/>
      <c r="Z508" s="46"/>
      <c r="AA508" s="46"/>
    </row>
    <row r="509">
      <c r="A509" s="55">
        <f>IFERROR(__xludf.DUMMYFUNCTION("""COMPUTED_VALUE"""),44342.43493657408)</f>
        <v>44342.43494</v>
      </c>
      <c r="B509" s="56">
        <f>IFERROR(__xludf.DUMMYFUNCTION("""COMPUTED_VALUE"""),44342.0)</f>
        <v>44342</v>
      </c>
      <c r="C509" s="59" t="str">
        <f t="shared" si="3"/>
        <v/>
      </c>
      <c r="D509" s="46" t="str">
        <f>IFERROR(__xludf.DUMMYFUNCTION("""COMPUTED_VALUE"""),"Hieppn")</f>
        <v>Hieppn</v>
      </c>
      <c r="E509" s="57" t="str">
        <f>IFERROR(__xludf.DUMMYFUNCTION("""COMPUTED_VALUE"""),"5300381785")</f>
        <v>5300381785</v>
      </c>
      <c r="F509" s="46" t="str">
        <f>IFERROR(__xludf.DUMMYFUNCTION("""COMPUTED_VALUE"""),"NHNo Gia Viễn, Thị trấn Me, Ninh Bình")</f>
        <v>NHNo Gia Viễn, Thị trấn Me, Ninh Bình</v>
      </c>
      <c r="G509" s="46" t="str">
        <f>IFERROR(__xludf.DUMMYFUNCTION("""COMPUTED_VALUE"""),"Trùng dây curoa presentor, cửa shutter gãy vỡ ")</f>
        <v>Trùng dây curoa presentor, cửa shutter gãy vỡ </v>
      </c>
      <c r="H509" s="46"/>
      <c r="I509" s="46"/>
      <c r="J509" s="46" t="str">
        <f>IFERROR(__xludf.DUMMYFUNCTION("""COMPUTED_VALUE"""),"Thay thế ")</f>
        <v>Thay thế </v>
      </c>
      <c r="K509" s="46" t="str">
        <f>IFERROR(__xludf.DUMMYFUNCTION("""COMPUTED_VALUE"""),"04 dây curoa presentor")</f>
        <v>04 dây curoa presentor</v>
      </c>
      <c r="L509" s="46" t="str">
        <f>IFERROR(__xludf.DUMMYFUNCTION("""COMPUTED_VALUE"""),"01 cửa shutter ")</f>
        <v>01 cửa shutter </v>
      </c>
      <c r="M509" s="46"/>
      <c r="N509" s="46"/>
      <c r="O509" s="46"/>
      <c r="P509" s="46"/>
      <c r="Q509" s="46" t="str">
        <f>IFERROR(__xludf.DUMMYFUNCTION("""COMPUTED_VALUE"""),"Hoàn thành")</f>
        <v>Hoàn thành</v>
      </c>
      <c r="R509" s="46"/>
      <c r="S509" s="46"/>
      <c r="T509" s="46"/>
      <c r="U509" s="46"/>
      <c r="V509" s="46"/>
      <c r="W509" s="46"/>
      <c r="X509" s="46"/>
      <c r="Y509" s="46"/>
      <c r="Z509" s="46"/>
      <c r="AA509" s="46"/>
    </row>
    <row r="510">
      <c r="A510" s="55">
        <f>IFERROR(__xludf.DUMMYFUNCTION("""COMPUTED_VALUE"""),44342.479037349534)</f>
        <v>44342.47904</v>
      </c>
      <c r="B510" s="56">
        <f>IFERROR(__xludf.DUMMYFUNCTION("""COMPUTED_VALUE"""),44342.0)</f>
        <v>44342</v>
      </c>
      <c r="C510" s="59" t="str">
        <f t="shared" si="3"/>
        <v/>
      </c>
      <c r="D510" s="46" t="str">
        <f>IFERROR(__xludf.DUMMYFUNCTION("""COMPUTED_VALUE"""),"Tuanva")</f>
        <v>Tuanva</v>
      </c>
      <c r="E510" s="57" t="str">
        <f>IFERROR(__xludf.DUMMYFUNCTION("""COMPUTED_VALUE"""),"5310106126")</f>
        <v>5310106126</v>
      </c>
      <c r="F510" s="46" t="str">
        <f>IFERROR(__xludf.DUMMYFUNCTION("""COMPUTED_VALUE"""),"Trung tâm Kinh doanh VNPT, tổ 32, P. Tân Quang, TP. Tuyên Quang")</f>
        <v>Trung tâm Kinh doanh VNPT, tổ 32, P. Tân Quang, TP. Tuyên Quang</v>
      </c>
      <c r="G510" s="46" t="str">
        <f>IFERROR(__xludf.DUMMYFUNCTION("""COMPUTED_VALUE"""),"Báo lỗi đầu đọc thẻ reset lại chạy dc,ngày bị 2-3 lần thay đầu đọc mới cũng không hết")</f>
        <v>Báo lỗi đầu đọc thẻ reset lại chạy dc,ngày bị 2-3 lần thay đầu đọc mới cũng không hết</v>
      </c>
      <c r="H510" s="46"/>
      <c r="I510" s="46"/>
      <c r="J510" s="46" t="str">
        <f>IFERROR(__xludf.DUMMYFUNCTION("""COMPUTED_VALUE"""),"Ghost lại máy")</f>
        <v>Ghost lại máy</v>
      </c>
      <c r="K510" s="46"/>
      <c r="L510" s="46"/>
      <c r="M510" s="46"/>
      <c r="N510" s="46"/>
      <c r="O510" s="46"/>
      <c r="P510" s="46"/>
      <c r="Q510" s="46" t="str">
        <f>IFERROR(__xludf.DUMMYFUNCTION("""COMPUTED_VALUE"""),"Hoàn thành")</f>
        <v>Hoàn thành</v>
      </c>
      <c r="R510" s="46"/>
      <c r="S510" s="46"/>
      <c r="T510" s="46"/>
      <c r="U510" s="46"/>
      <c r="V510" s="46"/>
      <c r="W510" s="46"/>
      <c r="X510" s="46"/>
      <c r="Y510" s="46"/>
      <c r="Z510" s="46"/>
      <c r="AA510" s="46"/>
    </row>
    <row r="511">
      <c r="A511" s="55">
        <f>IFERROR(__xludf.DUMMYFUNCTION("""COMPUTED_VALUE"""),44342.648673171294)</f>
        <v>44342.64867</v>
      </c>
      <c r="B511" s="56">
        <f>IFERROR(__xludf.DUMMYFUNCTION("""COMPUTED_VALUE"""),44342.0)</f>
        <v>44342</v>
      </c>
      <c r="C511" s="59" t="str">
        <f t="shared" si="3"/>
        <v/>
      </c>
      <c r="D511" s="46" t="str">
        <f>IFERROR(__xludf.DUMMYFUNCTION("""COMPUTED_VALUE"""),"Duclb")</f>
        <v>Duclb</v>
      </c>
      <c r="E511" s="57" t="str">
        <f>IFERROR(__xludf.DUMMYFUNCTION("""COMPUTED_VALUE"""),"5300381801")</f>
        <v>5300381801</v>
      </c>
      <c r="F511" s="46" t="str">
        <f>IFERROR(__xludf.DUMMYFUNCTION("""COMPUTED_VALUE"""),"Thị trấn Vĩnh Trụ, huyện Lý Nhân, Hà Nam")</f>
        <v>Thị trấn Vĩnh Trụ, huyện Lý Nhân, Hà Nam</v>
      </c>
      <c r="G511" s="46" t="str">
        <f>IFERROR(__xludf.DUMMYFUNCTION("""COMPUTED_VALUE"""),"Hay kẹt tiền")</f>
        <v>Hay kẹt tiền</v>
      </c>
      <c r="H511" s="46"/>
      <c r="I511" s="46"/>
      <c r="J511" s="46" t="str">
        <f>IFERROR(__xludf.DUMMYFUNCTION("""COMPUTED_VALUE"""),"Vệ sinh bộ trả tiền")</f>
        <v>Vệ sinh bộ trả tiền</v>
      </c>
      <c r="K511" s="46"/>
      <c r="L511" s="46"/>
      <c r="M511" s="46"/>
      <c r="N511" s="46"/>
      <c r="O511" s="46"/>
      <c r="P511" s="46"/>
      <c r="Q511" s="46" t="str">
        <f>IFERROR(__xludf.DUMMYFUNCTION("""COMPUTED_VALUE"""),"Hoàn thành")</f>
        <v>Hoàn thành</v>
      </c>
      <c r="R511" s="46"/>
      <c r="S511" s="46"/>
      <c r="T511" s="46"/>
      <c r="U511" s="46"/>
      <c r="V511" s="46"/>
      <c r="W511" s="46"/>
      <c r="X511" s="46"/>
      <c r="Y511" s="46"/>
      <c r="Z511" s="46"/>
      <c r="AA511" s="46"/>
    </row>
    <row r="512">
      <c r="A512" s="55">
        <f>IFERROR(__xludf.DUMMYFUNCTION("""COMPUTED_VALUE"""),44342.67814391204)</f>
        <v>44342.67814</v>
      </c>
      <c r="B512" s="56">
        <f>IFERROR(__xludf.DUMMYFUNCTION("""COMPUTED_VALUE"""),44342.0)</f>
        <v>44342</v>
      </c>
      <c r="C512" s="59" t="str">
        <f t="shared" si="3"/>
        <v/>
      </c>
      <c r="D512" s="46" t="str">
        <f>IFERROR(__xludf.DUMMYFUNCTION("""COMPUTED_VALUE"""),"Bannt")</f>
        <v>Bannt</v>
      </c>
      <c r="E512" s="57" t="str">
        <f>IFERROR(__xludf.DUMMYFUNCTION("""COMPUTED_VALUE"""),"5300378293")</f>
        <v>5300378293</v>
      </c>
      <c r="F512" s="46" t="str">
        <f>IFERROR(__xludf.DUMMYFUNCTION("""COMPUTED_VALUE"""),"Thị trấn Văn Giang - H. Văn Giang - Hưng Yên")</f>
        <v>Thị trấn Văn Giang - H. Văn Giang - Hưng Yên</v>
      </c>
      <c r="G512" s="46" t="str">
        <f>IFERROR(__xludf.DUMMYFUNCTION("""COMPUTED_VALUE"""),"Lỗi trùng dây, nát trục cuốn presenter")</f>
        <v>Lỗi trùng dây, nát trục cuốn presenter</v>
      </c>
      <c r="H512" s="46"/>
      <c r="I512" s="46"/>
      <c r="J512" s="46" t="str">
        <f>IFERROR(__xludf.DUMMYFUNCTION("""COMPUTED_VALUE"""),"Thay thế presenter mang theo, bàn giao và cấu hình bộ casset mới")</f>
        <v>Thay thế presenter mang theo, bàn giao và cấu hình bộ casset mới</v>
      </c>
      <c r="K512" s="46"/>
      <c r="L512" s="46"/>
      <c r="M512" s="46"/>
      <c r="N512" s="46"/>
      <c r="O512" s="46"/>
      <c r="P512" s="46"/>
      <c r="Q512" s="46" t="str">
        <f>IFERROR(__xludf.DUMMYFUNCTION("""COMPUTED_VALUE"""),"Hoàn thành")</f>
        <v>Hoàn thành</v>
      </c>
      <c r="R512" s="46"/>
      <c r="S512" s="46"/>
      <c r="T512" s="46"/>
      <c r="U512" s="46"/>
      <c r="V512" s="46"/>
      <c r="W512" s="46"/>
      <c r="X512" s="46"/>
      <c r="Y512" s="46"/>
      <c r="Z512" s="46"/>
      <c r="AA512" s="46"/>
    </row>
    <row r="513">
      <c r="A513" s="55">
        <f>IFERROR(__xludf.DUMMYFUNCTION("""COMPUTED_VALUE"""),44342.679023055556)</f>
        <v>44342.67902</v>
      </c>
      <c r="B513" s="56">
        <f>IFERROR(__xludf.DUMMYFUNCTION("""COMPUTED_VALUE"""),44342.0)</f>
        <v>44342</v>
      </c>
      <c r="C513" s="59" t="str">
        <f t="shared" si="3"/>
        <v/>
      </c>
      <c r="D513" s="46" t="str">
        <f>IFERROR(__xludf.DUMMYFUNCTION("""COMPUTED_VALUE"""),"Bannt")</f>
        <v>Bannt</v>
      </c>
      <c r="E513" s="57" t="str">
        <f>IFERROR(__xludf.DUMMYFUNCTION("""COMPUTED_VALUE"""),"5310105856")</f>
        <v>5310105856</v>
      </c>
      <c r="F513" s="46" t="str">
        <f>IFERROR(__xludf.DUMMYFUNCTION("""COMPUTED_VALUE"""),"Thị trấn Như Quỳnh (tòa nhà 5 tầng), huyện Văn Lâm, Hưng Yên")</f>
        <v>Thị trấn Như Quỳnh (tòa nhà 5 tầng), huyện Văn Lâm, Hưng Yên</v>
      </c>
      <c r="G513" s="46" t="str">
        <f>IFERROR(__xludf.DUMMYFUNCTION("""COMPUTED_VALUE"""),"Máy không trả tiền khay 2")</f>
        <v>Máy không trả tiền khay 2</v>
      </c>
      <c r="H513" s="46"/>
      <c r="I513" s="46"/>
      <c r="J513" s="46" t="str">
        <f>IFERROR(__xludf.DUMMYFUNCTION("""COMPUTED_VALUE"""),"Căn chỉnh trục gap vệ sinh truc miết tiền khay 100")</f>
        <v>Căn chỉnh trục gap vệ sinh truc miết tiền khay 100</v>
      </c>
      <c r="K513" s="46"/>
      <c r="L513" s="46"/>
      <c r="M513" s="46"/>
      <c r="N513" s="46"/>
      <c r="O513" s="46"/>
      <c r="P513" s="46"/>
      <c r="Q513" s="46" t="str">
        <f>IFERROR(__xludf.DUMMYFUNCTION("""COMPUTED_VALUE"""),"Hoàn thành")</f>
        <v>Hoàn thành</v>
      </c>
      <c r="R513" s="46"/>
      <c r="S513" s="46"/>
      <c r="T513" s="46"/>
      <c r="U513" s="46"/>
      <c r="V513" s="46"/>
      <c r="W513" s="46"/>
      <c r="X513" s="46"/>
      <c r="Y513" s="46"/>
      <c r="Z513" s="46"/>
      <c r="AA513" s="46"/>
    </row>
    <row r="514">
      <c r="A514" s="55">
        <f>IFERROR(__xludf.DUMMYFUNCTION("""COMPUTED_VALUE"""),44342.77916261574)</f>
        <v>44342.77916</v>
      </c>
      <c r="B514" s="56">
        <f>IFERROR(__xludf.DUMMYFUNCTION("""COMPUTED_VALUE"""),44342.0)</f>
        <v>44342</v>
      </c>
      <c r="C514" s="59" t="str">
        <f t="shared" si="3"/>
        <v/>
      </c>
      <c r="D514" s="46" t="str">
        <f>IFERROR(__xludf.DUMMYFUNCTION("""COMPUTED_VALUE"""),"Thangnx")</f>
        <v>Thangnx</v>
      </c>
      <c r="E514" s="57" t="str">
        <f>IFERROR(__xludf.DUMMYFUNCTION("""COMPUTED_VALUE"""),"5310183231")</f>
        <v>5310183231</v>
      </c>
      <c r="F514" s="46" t="str">
        <f>IFERROR(__xludf.DUMMYFUNCTION("""COMPUTED_VALUE"""),"Thị trấn Yên Lạc, Huyện Yên Lạc, Tỉnh Vĩnh Phúc")</f>
        <v>Thị trấn Yên Lạc, Huyện Yên Lạc, Tỉnh Vĩnh Phúc</v>
      </c>
      <c r="G514" s="46" t="str">
        <f>IFERROR(__xludf.DUMMYFUNCTION("""COMPUTED_VALUE"""),"Khay 100, 200 hay bị lỗi, reset lại thì rút được. Bảo trì")</f>
        <v>Khay 100, 200 hay bị lỗi, reset lại thì rút được. Bảo trì</v>
      </c>
      <c r="H514" s="46"/>
      <c r="I514" s="46" t="str">
        <f>IFERROR(__xludf.DUMMYFUNCTION("""COMPUTED_VALUE"""),"Bảo trì")</f>
        <v>Bảo trì</v>
      </c>
      <c r="J514" s="46" t="str">
        <f>IFERROR(__xludf.DUMMYFUNCTION("""COMPUTED_VALUE"""),"Vệ sinh. Kiểm tra thấy máy bị tình trạng cắm nguồn cmd thì khởi động lại, tạm thời ko có part để xử lý.  ")</f>
        <v>Vệ sinh. Kiểm tra thấy máy bị tình trạng cắm nguồn cmd thì khởi động lại, tạm thời ko có part để xử lý.  </v>
      </c>
      <c r="K514" s="46"/>
      <c r="L514" s="46"/>
      <c r="M514" s="46"/>
      <c r="N514" s="46"/>
      <c r="O514" s="46"/>
      <c r="P514" s="46"/>
      <c r="Q514" s="46" t="str">
        <f>IFERROR(__xludf.DUMMYFUNCTION("""COMPUTED_VALUE"""),"Hoàn thành")</f>
        <v>Hoàn thành</v>
      </c>
      <c r="R514" s="46"/>
      <c r="S514" s="46"/>
      <c r="T514" s="46"/>
      <c r="U514" s="46"/>
      <c r="V514" s="46"/>
      <c r="W514" s="46"/>
      <c r="X514" s="46"/>
      <c r="Y514" s="46"/>
      <c r="Z514" s="46"/>
      <c r="AA514" s="46"/>
    </row>
    <row r="515">
      <c r="A515" s="55">
        <f>IFERROR(__xludf.DUMMYFUNCTION("""COMPUTED_VALUE"""),44342.780222685185)</f>
        <v>44342.78022</v>
      </c>
      <c r="B515" s="56">
        <f>IFERROR(__xludf.DUMMYFUNCTION("""COMPUTED_VALUE"""),44342.0)</f>
        <v>44342</v>
      </c>
      <c r="C515" s="59" t="str">
        <f t="shared" si="3"/>
        <v/>
      </c>
      <c r="D515" s="46" t="str">
        <f>IFERROR(__xludf.DUMMYFUNCTION("""COMPUTED_VALUE"""),"Thangnx")</f>
        <v>Thangnx</v>
      </c>
      <c r="E515" s="57" t="str">
        <f>IFERROR(__xludf.DUMMYFUNCTION("""COMPUTED_VALUE"""),"5310107015")</f>
        <v>5310107015</v>
      </c>
      <c r="F515" s="46" t="str">
        <f>IFERROR(__xludf.DUMMYFUNCTION("""COMPUTED_VALUE"""),"NHNN Yên Lạc, TT Yên Lạc, H. Yên Lạc, T. Vĩnh Phúc")</f>
        <v>NHNN Yên Lạc, TT Yên Lạc, H. Yên Lạc, T. Vĩnh Phúc</v>
      </c>
      <c r="G515" s="46" t="str">
        <f>IFERROR(__xludf.DUMMYFUNCTION("""COMPUTED_VALUE"""),"Bảo trì, tiền loại. ")</f>
        <v>Bảo trì, tiền loại. </v>
      </c>
      <c r="H515" s="46"/>
      <c r="I515" s="46" t="str">
        <f>IFERROR(__xludf.DUMMYFUNCTION("""COMPUTED_VALUE"""),"Bảo trì")</f>
        <v>Bảo trì</v>
      </c>
      <c r="J515" s="46" t="str">
        <f>IFERROR(__xludf.DUMMYFUNCTION("""COMPUTED_VALUE"""),"Kiểm tra thấy trục đỡ presenter bị bong vòng cao su, đã gắn tạm keo. Cần thay thế. ")</f>
        <v>Kiểm tra thấy trục đỡ presenter bị bong vòng cao su, đã gắn tạm keo. Cần thay thế. </v>
      </c>
      <c r="K515" s="46"/>
      <c r="L515" s="46"/>
      <c r="M515" s="46"/>
      <c r="N515" s="46"/>
      <c r="O515" s="46"/>
      <c r="P515" s="46"/>
      <c r="Q515" s="46" t="str">
        <f>IFERROR(__xludf.DUMMYFUNCTION("""COMPUTED_VALUE"""),"Hoàn thành")</f>
        <v>Hoàn thành</v>
      </c>
      <c r="R515" s="46"/>
      <c r="S515" s="46"/>
      <c r="T515" s="46"/>
      <c r="U515" s="46"/>
      <c r="V515" s="46"/>
      <c r="W515" s="46"/>
      <c r="X515" s="46"/>
      <c r="Y515" s="46"/>
      <c r="Z515" s="46"/>
      <c r="AA515" s="46"/>
    </row>
    <row r="516">
      <c r="A516" s="55">
        <f>IFERROR(__xludf.DUMMYFUNCTION("""COMPUTED_VALUE"""),44343.47291924768)</f>
        <v>44343.47292</v>
      </c>
      <c r="B516" s="56">
        <f>IFERROR(__xludf.DUMMYFUNCTION("""COMPUTED_VALUE"""),44343.0)</f>
        <v>44343</v>
      </c>
      <c r="C516" s="59" t="str">
        <f t="shared" si="3"/>
        <v/>
      </c>
      <c r="D516" s="46" t="str">
        <f>IFERROR(__xludf.DUMMYFUNCTION("""COMPUTED_VALUE"""),"Thuongd")</f>
        <v>Thuongd</v>
      </c>
      <c r="E516" s="57" t="str">
        <f>IFERROR(__xludf.DUMMYFUNCTION("""COMPUTED_VALUE"""),"5300380678")</f>
        <v>5300380678</v>
      </c>
      <c r="F516" s="46" t="str">
        <f>IFERROR(__xludf.DUMMYFUNCTION("""COMPUTED_VALUE"""),"Xóm 1 Nam Sơn - Thị trấn Nghèn - Can Lộc - Hà Tĩnh")</f>
        <v>Xóm 1 Nam Sơn - Thị trấn Nghèn - Can Lộc - Hà Tĩnh</v>
      </c>
      <c r="G516" s="46" t="str">
        <f>IFERROR(__xludf.DUMMYFUNCTION("""COMPUTED_VALUE"""),"Lỗi bptt")</f>
        <v>Lỗi bptt</v>
      </c>
      <c r="H516" s="46"/>
      <c r="I516" s="46"/>
      <c r="J516" s="46" t="str">
        <f>IFERROR(__xludf.DUMMYFUNCTION("""COMPUTED_VALUE"""),"Vệ sinh")</f>
        <v>Vệ sinh</v>
      </c>
      <c r="K516" s="46"/>
      <c r="L516" s="46" t="str">
        <f>IFERROR(__xludf.DUMMYFUNCTION("""COMPUTED_VALUE"""),"02 trục đen")</f>
        <v>02 trục đen</v>
      </c>
      <c r="M516" s="46"/>
      <c r="N516" s="46"/>
      <c r="O516" s="46"/>
      <c r="P516" s="46"/>
      <c r="Q516" s="46" t="str">
        <f>IFERROR(__xludf.DUMMYFUNCTION("""COMPUTED_VALUE"""),"Hoàn thành")</f>
        <v>Hoàn thành</v>
      </c>
      <c r="R516" s="46"/>
      <c r="S516" s="46"/>
      <c r="T516" s="46"/>
      <c r="U516" s="46"/>
      <c r="V516" s="46"/>
      <c r="W516" s="46"/>
      <c r="X516" s="46"/>
      <c r="Y516" s="46"/>
      <c r="Z516" s="46"/>
      <c r="AA516" s="46"/>
    </row>
    <row r="517">
      <c r="A517" s="55">
        <f>IFERROR(__xludf.DUMMYFUNCTION("""COMPUTED_VALUE"""),44343.47791489583)</f>
        <v>44343.47791</v>
      </c>
      <c r="B517" s="56">
        <f>IFERROR(__xludf.DUMMYFUNCTION("""COMPUTED_VALUE"""),44343.0)</f>
        <v>44343</v>
      </c>
      <c r="C517" s="59" t="str">
        <f t="shared" si="3"/>
        <v/>
      </c>
      <c r="D517" s="46" t="str">
        <f>IFERROR(__xludf.DUMMYFUNCTION("""COMPUTED_VALUE"""),"Tuanva")</f>
        <v>Tuanva</v>
      </c>
      <c r="E517" s="57" t="str">
        <f>IFERROR(__xludf.DUMMYFUNCTION("""COMPUTED_VALUE"""),"56HG707951")</f>
        <v>56HG707951</v>
      </c>
      <c r="F517" s="46" t="str">
        <f>IFERROR(__xludf.DUMMYFUNCTION("""COMPUTED_VALUE"""),"Lô 1, Khu CN Hòa Xá, TP Nam Định, Tỉnh Nam Định")</f>
        <v>Lô 1, Khu CN Hòa Xá, TP Nam Định, Tỉnh Nam Định</v>
      </c>
      <c r="G517" s="46" t="str">
        <f>IFERROR(__xludf.DUMMYFUNCTION("""COMPUTED_VALUE"""),"Lỗi 2.5")</f>
        <v>Lỗi 2.5</v>
      </c>
      <c r="H517" s="46"/>
      <c r="I517" s="46"/>
      <c r="J517" s="46" t="str">
        <f>IFERROR(__xludf.DUMMYFUNCTION("""COMPUTED_VALUE"""),"Kẹt tiền giữa ex và pre,dây curoa ex tuột ra khỏi trục")</f>
        <v>Kẹt tiền giữa ex và pre,dây curoa ex tuột ra khỏi trục</v>
      </c>
      <c r="K517" s="46" t="str">
        <f>IFERROR(__xludf.DUMMYFUNCTION("""COMPUTED_VALUE"""),"01 main ngang")</f>
        <v>01 main ngang</v>
      </c>
      <c r="L517" s="46"/>
      <c r="M517" s="46"/>
      <c r="N517" s="46"/>
      <c r="O517" s="46"/>
      <c r="P517" s="46"/>
      <c r="Q517" s="46" t="str">
        <f>IFERROR(__xludf.DUMMYFUNCTION("""COMPUTED_VALUE"""),"Hoàn thành")</f>
        <v>Hoàn thành</v>
      </c>
      <c r="R517" s="46"/>
      <c r="S517" s="46"/>
      <c r="T517" s="46"/>
      <c r="U517" s="46"/>
      <c r="V517" s="46"/>
      <c r="W517" s="46"/>
      <c r="X517" s="46"/>
      <c r="Y517" s="46"/>
      <c r="Z517" s="46"/>
      <c r="AA517" s="46"/>
    </row>
    <row r="518">
      <c r="A518" s="55">
        <f>IFERROR(__xludf.DUMMYFUNCTION("""COMPUTED_VALUE"""),44343.49196608797)</f>
        <v>44343.49197</v>
      </c>
      <c r="B518" s="56">
        <f>IFERROR(__xludf.DUMMYFUNCTION("""COMPUTED_VALUE"""),44343.0)</f>
        <v>44343</v>
      </c>
      <c r="C518" s="59" t="str">
        <f t="shared" si="3"/>
        <v/>
      </c>
      <c r="D518" s="46" t="str">
        <f>IFERROR(__xludf.DUMMYFUNCTION("""COMPUTED_VALUE"""),"duclb")</f>
        <v>duclb</v>
      </c>
      <c r="E518" s="57" t="str">
        <f>IFERROR(__xludf.DUMMYFUNCTION("""COMPUTED_VALUE"""),"5310105869")</f>
        <v>5310105869</v>
      </c>
      <c r="F518" s="46" t="str">
        <f>IFERROR(__xludf.DUMMYFUNCTION("""COMPUTED_VALUE"""),"Hội sở chi nhánh, số 86 Duy Tân, phường Dịch Vọng Hậu, quận Cầu Giấy, Hà Nội")</f>
        <v>Hội sở chi nhánh, số 86 Duy Tân, phường Dịch Vọng Hậu, quận Cầu Giấy, Hà Nội</v>
      </c>
      <c r="G518" s="46" t="str">
        <f>IFERROR(__xludf.DUMMYFUNCTION("""COMPUTED_VALUE"""),"Y/c bảo trì")</f>
        <v>Y/c bảo trì</v>
      </c>
      <c r="H518" s="46"/>
      <c r="I518" s="46" t="str">
        <f>IFERROR(__xludf.DUMMYFUNCTION("""COMPUTED_VALUE"""),"Bảo trì")</f>
        <v>Bảo trì</v>
      </c>
      <c r="J518" s="46"/>
      <c r="K518" s="46"/>
      <c r="L518" s="46"/>
      <c r="M518" s="46"/>
      <c r="N518" s="46"/>
      <c r="O518" s="46"/>
      <c r="P518" s="46"/>
      <c r="Q518" s="46" t="str">
        <f>IFERROR(__xludf.DUMMYFUNCTION("""COMPUTED_VALUE"""),"Hoàn thành")</f>
        <v>Hoàn thành</v>
      </c>
      <c r="R518" s="46"/>
      <c r="S518" s="46"/>
      <c r="T518" s="46"/>
      <c r="U518" s="46"/>
      <c r="V518" s="46"/>
      <c r="W518" s="46"/>
      <c r="X518" s="46"/>
      <c r="Y518" s="46"/>
      <c r="Z518" s="46"/>
      <c r="AA518" s="46"/>
    </row>
    <row r="519">
      <c r="A519" s="55">
        <f>IFERROR(__xludf.DUMMYFUNCTION("""COMPUTED_VALUE"""),44343.61196589121)</f>
        <v>44343.61197</v>
      </c>
      <c r="B519" s="56">
        <f>IFERROR(__xludf.DUMMYFUNCTION("""COMPUTED_VALUE"""),44343.0)</f>
        <v>44343</v>
      </c>
      <c r="C519" s="59" t="str">
        <f t="shared" si="3"/>
        <v/>
      </c>
      <c r="D519" s="46" t="str">
        <f>IFERROR(__xludf.DUMMYFUNCTION("""COMPUTED_VALUE"""),"Bannt")</f>
        <v>Bannt</v>
      </c>
      <c r="E519" s="57" t="str">
        <f>IFERROR(__xludf.DUMMYFUNCTION("""COMPUTED_VALUE"""),"56HG707958")</f>
        <v>56HG707958</v>
      </c>
      <c r="F519" s="46" t="str">
        <f>IFERROR(__xludf.DUMMYFUNCTION("""COMPUTED_VALUE"""),"Xã Tân Dương, Huyện Thủy Nguyên, TP.Hải Phòng")</f>
        <v>Xã Tân Dương, Huyện Thủy Nguyên, TP.Hải Phòng</v>
      </c>
      <c r="G519" s="46" t="str">
        <f>IFERROR(__xludf.DUMMYFUNCTION("""COMPUTED_VALUE"""),"Máy chuyển địa điểm qua 268 Trần Nguyên Hãn, Niệm Nghĩa, Lê Chân, Tp. Hải Phòng")</f>
        <v>Máy chuyển địa điểm qua 268 Trần Nguyên Hãn, Niệm Nghĩa, Lê Chân, Tp. Hải Phòng</v>
      </c>
      <c r="H519" s="46"/>
      <c r="I519" s="46" t="str">
        <f>IFERROR(__xludf.DUMMYFUNCTION("""COMPUTED_VALUE"""),"Bảo trì")</f>
        <v>Bảo trì</v>
      </c>
      <c r="J519" s="46" t="str">
        <f>IFERROR(__xludf.DUMMYFUNCTION("""COMPUTED_VALUE"""),"Bảo trì máy ATM , cài đặt lại máy")</f>
        <v>Bảo trì máy ATM , cài đặt lại máy</v>
      </c>
      <c r="K519" s="46"/>
      <c r="L519" s="46"/>
      <c r="M519" s="46"/>
      <c r="N519" s="46"/>
      <c r="O519" s="46"/>
      <c r="P519" s="46"/>
      <c r="Q519" s="46" t="str">
        <f>IFERROR(__xludf.DUMMYFUNCTION("""COMPUTED_VALUE"""),"Hoàn thành")</f>
        <v>Hoàn thành</v>
      </c>
      <c r="R519" s="46"/>
      <c r="S519" s="46"/>
      <c r="T519" s="46"/>
      <c r="U519" s="46"/>
      <c r="V519" s="46"/>
      <c r="W519" s="46"/>
      <c r="X519" s="46"/>
      <c r="Y519" s="46"/>
      <c r="Z519" s="46"/>
      <c r="AA519" s="46"/>
    </row>
    <row r="520">
      <c r="A520" s="55">
        <f>IFERROR(__xludf.DUMMYFUNCTION("""COMPUTED_VALUE"""),44343.63354265047)</f>
        <v>44343.63354</v>
      </c>
      <c r="B520" s="56">
        <f>IFERROR(__xludf.DUMMYFUNCTION("""COMPUTED_VALUE"""),44343.0)</f>
        <v>44343</v>
      </c>
      <c r="C520" s="59" t="str">
        <f t="shared" si="3"/>
        <v/>
      </c>
      <c r="D520" s="46" t="str">
        <f>IFERROR(__xludf.DUMMYFUNCTION("""COMPUTED_VALUE"""),"Thangnx")</f>
        <v>Thangnx</v>
      </c>
      <c r="E520" s="57" t="str">
        <f>IFERROR(__xludf.DUMMYFUNCTION("""COMPUTED_VALUE"""),"5310182648")</f>
        <v>5310182648</v>
      </c>
      <c r="F520" s="46" t="str">
        <f>IFERROR(__xludf.DUMMYFUNCTION("""COMPUTED_VALUE"""),"Thôn Quán Trắng, xã Thành Lập, H.Lương Sơn, T.Hòa Bình.")</f>
        <v>Thôn Quán Trắng, xã Thành Lập, H.Lương Sơn, T.Hòa Bình.</v>
      </c>
      <c r="G520" s="46" t="str">
        <f>IFERROR(__xludf.DUMMYFUNCTION("""COMPUTED_VALUE"""),"Bảo trì")</f>
        <v>Bảo trì</v>
      </c>
      <c r="H520" s="46"/>
      <c r="I520" s="46" t="str">
        <f>IFERROR(__xludf.DUMMYFUNCTION("""COMPUTED_VALUE"""),"Bảo trì")</f>
        <v>Bảo trì</v>
      </c>
      <c r="J520" s="46"/>
      <c r="K520" s="46"/>
      <c r="L520" s="46"/>
      <c r="M520" s="46"/>
      <c r="N520" s="46"/>
      <c r="O520" s="46"/>
      <c r="P520" s="46"/>
      <c r="Q520" s="46" t="str">
        <f>IFERROR(__xludf.DUMMYFUNCTION("""COMPUTED_VALUE"""),"Hoàn thành")</f>
        <v>Hoàn thành</v>
      </c>
      <c r="R520" s="46"/>
      <c r="S520" s="46"/>
      <c r="T520" s="46"/>
      <c r="U520" s="46"/>
      <c r="V520" s="46"/>
      <c r="W520" s="46"/>
      <c r="X520" s="46"/>
      <c r="Y520" s="46"/>
      <c r="Z520" s="46"/>
      <c r="AA520" s="46"/>
    </row>
    <row r="521">
      <c r="A521" s="55">
        <f>IFERROR(__xludf.DUMMYFUNCTION("""COMPUTED_VALUE"""),44343.638197928245)</f>
        <v>44343.6382</v>
      </c>
      <c r="B521" s="56">
        <f>IFERROR(__xludf.DUMMYFUNCTION("""COMPUTED_VALUE"""),44343.0)</f>
        <v>44343</v>
      </c>
      <c r="C521" s="59" t="str">
        <f t="shared" si="3"/>
        <v/>
      </c>
      <c r="D521" s="46" t="str">
        <f>IFERROR(__xludf.DUMMYFUNCTION("""COMPUTED_VALUE"""),"Thangnx")</f>
        <v>Thangnx</v>
      </c>
      <c r="E521" s="57" t="str">
        <f>IFERROR(__xludf.DUMMYFUNCTION("""COMPUTED_VALUE"""),"5310181532")</f>
        <v>5310181532</v>
      </c>
      <c r="F521" s="46" t="str">
        <f>IFERROR(__xludf.DUMMYFUNCTION("""COMPUTED_VALUE"""),"UBND xã Dũng Phong, xã Dũng Phong, huyện Cao Phong, tỉnh Hòa Bình.")</f>
        <v>UBND xã Dũng Phong, xã Dũng Phong, huyện Cao Phong, tỉnh Hòa Bình.</v>
      </c>
      <c r="G521" s="46" t="str">
        <f>IFERROR(__xludf.DUMMYFUNCTION("""COMPUTED_VALUE"""),"Bảo trì")</f>
        <v>Bảo trì</v>
      </c>
      <c r="H521" s="46"/>
      <c r="I521" s="46" t="str">
        <f>IFERROR(__xludf.DUMMYFUNCTION("""COMPUTED_VALUE"""),"Bảo trì")</f>
        <v>Bảo trì</v>
      </c>
      <c r="J521" s="46"/>
      <c r="K521" s="46"/>
      <c r="L521" s="46"/>
      <c r="M521" s="46"/>
      <c r="N521" s="46"/>
      <c r="O521" s="46"/>
      <c r="P521" s="46"/>
      <c r="Q521" s="46" t="str">
        <f>IFERROR(__xludf.DUMMYFUNCTION("""COMPUTED_VALUE"""),"Hoàn thành")</f>
        <v>Hoàn thành</v>
      </c>
      <c r="R521" s="46"/>
      <c r="S521" s="46"/>
      <c r="T521" s="46"/>
      <c r="U521" s="46"/>
      <c r="V521" s="46"/>
      <c r="W521" s="46"/>
      <c r="X521" s="46"/>
      <c r="Y521" s="46"/>
      <c r="Z521" s="46"/>
      <c r="AA521" s="46"/>
    </row>
    <row r="522">
      <c r="A522" s="55">
        <f>IFERROR(__xludf.DUMMYFUNCTION("""COMPUTED_VALUE"""),44343.66697248843)</f>
        <v>44343.66697</v>
      </c>
      <c r="B522" s="56">
        <f>IFERROR(__xludf.DUMMYFUNCTION("""COMPUTED_VALUE"""),44343.0)</f>
        <v>44343</v>
      </c>
      <c r="C522" s="59" t="str">
        <f t="shared" si="3"/>
        <v/>
      </c>
      <c r="D522" s="46" t="str">
        <f>IFERROR(__xludf.DUMMYFUNCTION("""COMPUTED_VALUE"""),"tienvm")</f>
        <v>tienvm</v>
      </c>
      <c r="E522" s="57" t="str">
        <f>IFERROR(__xludf.DUMMYFUNCTION("""COMPUTED_VALUE"""),"5300378595")</f>
        <v>5300378595</v>
      </c>
      <c r="F522" s="46" t="str">
        <f>IFERROR(__xludf.DUMMYFUNCTION("""COMPUTED_VALUE"""),"Số 2 Láng Hạ - Q.Ba Đình - Hà Nội")</f>
        <v>Số 2 Láng Hạ - Q.Ba Đình - Hà Nội</v>
      </c>
      <c r="G522" s="46" t="str">
        <f>IFERROR(__xludf.DUMMYFUNCTION("""COMPUTED_VALUE"""),"Lỗi không trả được tiền")</f>
        <v>Lỗi không trả được tiền</v>
      </c>
      <c r="H522" s="46"/>
      <c r="I522" s="46"/>
      <c r="J522" s="46" t="str">
        <f>IFERROR(__xludf.DUMMYFUNCTION("""COMPUTED_VALUE"""),"Kiểm tra toàn bộ CMD, vệ sinh 2Ex, thay thế 01 trục đỡ curoa")</f>
        <v>Kiểm tra toàn bộ CMD, vệ sinh 2Ex, thay thế 01 trục đỡ curoa</v>
      </c>
      <c r="K522" s="46" t="str">
        <f>IFERROR(__xludf.DUMMYFUNCTION("""COMPUTED_VALUE"""),"01 trục đỡ curoa ex1")</f>
        <v>01 trục đỡ curoa ex1</v>
      </c>
      <c r="L522" s="46"/>
      <c r="M522" s="46"/>
      <c r="N522" s="46"/>
      <c r="O522" s="46"/>
      <c r="P522" s="46" t="str">
        <f>IFERROR(__xludf.DUMMYFUNCTION("""COMPUTED_VALUE"""),"Sau khi xử lý, test toàn bộ thiết bị ok. Do KH chiều mới tiếp quỹ nên chưa test tiền thật được.")</f>
        <v>Sau khi xử lý, test toàn bộ thiết bị ok. Do KH chiều mới tiếp quỹ nên chưa test tiền thật được.</v>
      </c>
      <c r="Q522" s="46" t="str">
        <f>IFERROR(__xludf.DUMMYFUNCTION("""COMPUTED_VALUE"""),"Hoàn thành")</f>
        <v>Hoàn thành</v>
      </c>
      <c r="R522" s="46"/>
      <c r="S522" s="46"/>
      <c r="T522" s="46"/>
      <c r="U522" s="46"/>
      <c r="V522" s="46"/>
      <c r="W522" s="46"/>
      <c r="X522" s="46"/>
      <c r="Y522" s="46"/>
      <c r="Z522" s="46"/>
      <c r="AA522" s="46"/>
    </row>
    <row r="523">
      <c r="A523" s="55">
        <f>IFERROR(__xludf.DUMMYFUNCTION("""COMPUTED_VALUE"""),44343.668479699074)</f>
        <v>44343.66848</v>
      </c>
      <c r="B523" s="56">
        <f>IFERROR(__xludf.DUMMYFUNCTION("""COMPUTED_VALUE"""),44343.0)</f>
        <v>44343</v>
      </c>
      <c r="C523" s="59" t="str">
        <f t="shared" si="3"/>
        <v/>
      </c>
      <c r="D523" s="46" t="str">
        <f>IFERROR(__xludf.DUMMYFUNCTION("""COMPUTED_VALUE"""),"tienvm")</f>
        <v>tienvm</v>
      </c>
      <c r="E523" s="57" t="str">
        <f>IFERROR(__xludf.DUMMYFUNCTION("""COMPUTED_VALUE"""),"5300380530")</f>
        <v>5300380530</v>
      </c>
      <c r="F523" s="46" t="str">
        <f>IFERROR(__xludf.DUMMYFUNCTION("""COMPUTED_VALUE"""),"Số 2 Láng Hạ - Q.Ba Đình - Hà Nội")</f>
        <v>Số 2 Láng Hạ - Q.Ba Đình - Hà Nội</v>
      </c>
      <c r="G523" s="46" t="str">
        <f>IFERROR(__xludf.DUMMYFUNCTION("""COMPUTED_VALUE"""),"Lỗi BPTT")</f>
        <v>Lỗi BPTT</v>
      </c>
      <c r="H523" s="46"/>
      <c r="I523" s="46"/>
      <c r="J523" s="46" t="str">
        <f>IFERROR(__xludf.DUMMYFUNCTION("""COMPUTED_VALUE"""),"Kiểm tra thấy tiền loại bị full, 2 trục pick tầng 200k và 500k bị mòn lão hóa. Tiến hành vệ sinh 2Ex, thay 2 trục Pick cho Ex2")</f>
        <v>Kiểm tra thấy tiền loại bị full, 2 trục pick tầng 200k và 500k bị mòn lão hóa. Tiến hành vệ sinh 2Ex, thay 2 trục Pick cho Ex2</v>
      </c>
      <c r="K523" s="46" t="str">
        <f>IFERROR(__xludf.DUMMYFUNCTION("""COMPUTED_VALUE"""),"02 trục Pick Ex2")</f>
        <v>02 trục Pick Ex2</v>
      </c>
      <c r="L523" s="46"/>
      <c r="M523" s="46"/>
      <c r="N523" s="46"/>
      <c r="O523" s="46"/>
      <c r="P523" s="46" t="str">
        <f>IFERROR(__xludf.DUMMYFUNCTION("""COMPUTED_VALUE"""),"Sau khi xử lý, test toàn bộ thiết bị ok. Do KH chiều mới tiếp quỹ nên chưa test tiền thật được.")</f>
        <v>Sau khi xử lý, test toàn bộ thiết bị ok. Do KH chiều mới tiếp quỹ nên chưa test tiền thật được.</v>
      </c>
      <c r="Q523" s="46" t="str">
        <f>IFERROR(__xludf.DUMMYFUNCTION("""COMPUTED_VALUE"""),"Hoàn thành")</f>
        <v>Hoàn thành</v>
      </c>
      <c r="R523" s="46"/>
      <c r="S523" s="46"/>
      <c r="T523" s="46"/>
      <c r="U523" s="46"/>
      <c r="V523" s="46"/>
      <c r="W523" s="46"/>
      <c r="X523" s="46"/>
      <c r="Y523" s="46"/>
      <c r="Z523" s="46"/>
      <c r="AA523" s="46"/>
    </row>
    <row r="524">
      <c r="A524" s="55">
        <f>IFERROR(__xludf.DUMMYFUNCTION("""COMPUTED_VALUE"""),44344.38970491898)</f>
        <v>44344.3897</v>
      </c>
      <c r="B524" s="56">
        <f>IFERROR(__xludf.DUMMYFUNCTION("""COMPUTED_VALUE"""),44343.0)</f>
        <v>44343</v>
      </c>
      <c r="C524" s="59" t="str">
        <f t="shared" si="3"/>
        <v/>
      </c>
      <c r="D524" s="46" t="str">
        <f>IFERROR(__xludf.DUMMYFUNCTION("""COMPUTED_VALUE"""),"Hieppn")</f>
        <v>Hieppn</v>
      </c>
      <c r="E524" s="57" t="str">
        <f>IFERROR(__xludf.DUMMYFUNCTION("""COMPUTED_VALUE"""),"56HG707956")</f>
        <v>56HG707956</v>
      </c>
      <c r="F524" s="46" t="str">
        <f>IFERROR(__xludf.DUMMYFUNCTION("""COMPUTED_VALUE"""),"Công ty TNHH Công Nghiệp Hạ Long- CFG – KCN Khánh Cư, xã Khánh Cư, huyện Yên Khánh, tỉnh Ninh Bình")</f>
        <v>Công ty TNHH Công Nghiệp Hạ Long- CFG – KCN Khánh Cư, xã Khánh Cư, huyện Yên Khánh, tỉnh Ninh Bình</v>
      </c>
      <c r="G524" s="46" t="str">
        <f>IFERROR(__xludf.DUMMYFUNCTION("""COMPUTED_VALUE"""),"Lỗi 7-3 kết hợp bảo trì")</f>
        <v>Lỗi 7-3 kết hợp bảo trì</v>
      </c>
      <c r="H524" s="46"/>
      <c r="I524" s="46"/>
      <c r="J524" s="46" t="str">
        <f>IFERROR(__xludf.DUMMYFUNCTION("""COMPUTED_VALUE""")," Vệ sinh kết hợp bảo trì máy ATM")</f>
        <v> Vệ sinh kết hợp bảo trì máy ATM</v>
      </c>
      <c r="K524" s="46"/>
      <c r="L524" s="46"/>
      <c r="M524" s="46"/>
      <c r="N524" s="46"/>
      <c r="O524" s="46"/>
      <c r="P524" s="46"/>
      <c r="Q524" s="46" t="str">
        <f>IFERROR(__xludf.DUMMYFUNCTION("""COMPUTED_VALUE"""),"Hoàn thành")</f>
        <v>Hoàn thành</v>
      </c>
      <c r="R524" s="46"/>
      <c r="S524" s="46"/>
      <c r="T524" s="46"/>
      <c r="U524" s="46"/>
      <c r="V524" s="46"/>
      <c r="W524" s="46"/>
      <c r="X524" s="46"/>
      <c r="Y524" s="46"/>
      <c r="Z524" s="46"/>
      <c r="AA524" s="46"/>
    </row>
    <row r="525">
      <c r="A525" s="55">
        <f>IFERROR(__xludf.DUMMYFUNCTION("""COMPUTED_VALUE"""),44344.4583440625)</f>
        <v>44344.45834</v>
      </c>
      <c r="B525" s="56">
        <f>IFERROR(__xludf.DUMMYFUNCTION("""COMPUTED_VALUE"""),44313.0)</f>
        <v>44313</v>
      </c>
      <c r="C525" s="59" t="str">
        <f t="shared" si="3"/>
        <v>Báo cáo muộn</v>
      </c>
      <c r="D525" s="46" t="str">
        <f>IFERROR(__xludf.DUMMYFUNCTION("""COMPUTED_VALUE"""),"HaNH")</f>
        <v>HaNH</v>
      </c>
      <c r="E525" s="57" t="str">
        <f>IFERROR(__xludf.DUMMYFUNCTION("""COMPUTED_VALUE"""),"56HG707951")</f>
        <v>56HG707951</v>
      </c>
      <c r="F525" s="46" t="str">
        <f>IFERROR(__xludf.DUMMYFUNCTION("""COMPUTED_VALUE"""),"Lô 1, Khu CN Hòa Xá, TP Nam Định, Tỉnh Nam Định")</f>
        <v>Lô 1, Khu CN Hòa Xá, TP Nam Định, Tỉnh Nam Định</v>
      </c>
      <c r="G525" s="46" t="str">
        <f>IFERROR(__xludf.DUMMYFUNCTION("""COMPUTED_VALUE"""),"Lỗi 1-1")</f>
        <v>Lỗi 1-1</v>
      </c>
      <c r="H525" s="46"/>
      <c r="I525" s="46"/>
      <c r="J525" s="46" t="str">
        <f>IFERROR(__xludf.DUMMYFUNCTION("""COMPUTED_VALUE"""),"Load lại FW học lại tiền.")</f>
        <v>Load lại FW học lại tiền.</v>
      </c>
      <c r="K525" s="46"/>
      <c r="L525" s="46"/>
      <c r="M525" s="46"/>
      <c r="N525" s="46"/>
      <c r="O525" s="46"/>
      <c r="P525" s="46"/>
      <c r="Q525" s="46" t="str">
        <f>IFERROR(__xludf.DUMMYFUNCTION("""COMPUTED_VALUE"""),"Hoàn thành")</f>
        <v>Hoàn thành</v>
      </c>
      <c r="R525" s="46"/>
      <c r="S525" s="46"/>
      <c r="T525" s="46"/>
      <c r="U525" s="46"/>
      <c r="V525" s="46"/>
      <c r="W525" s="46"/>
      <c r="X525" s="46"/>
      <c r="Y525" s="46"/>
      <c r="Z525" s="46"/>
      <c r="AA525" s="46"/>
    </row>
    <row r="526">
      <c r="A526" s="55">
        <f>IFERROR(__xludf.DUMMYFUNCTION("""COMPUTED_VALUE"""),44344.45990511574)</f>
        <v>44344.45991</v>
      </c>
      <c r="B526" s="56">
        <f>IFERROR(__xludf.DUMMYFUNCTION("""COMPUTED_VALUE"""),44314.0)</f>
        <v>44314</v>
      </c>
      <c r="C526" s="59" t="str">
        <f t="shared" si="3"/>
        <v>Báo cáo muộn</v>
      </c>
      <c r="D526" s="46" t="str">
        <f>IFERROR(__xludf.DUMMYFUNCTION("""COMPUTED_VALUE"""),"HaNH")</f>
        <v>HaNH</v>
      </c>
      <c r="E526" s="57" t="str">
        <f>IFERROR(__xludf.DUMMYFUNCTION("""COMPUTED_VALUE"""),"5300381623")</f>
        <v>5300381623</v>
      </c>
      <c r="F526" s="46" t="str">
        <f>IFERROR(__xludf.DUMMYFUNCTION("""COMPUTED_VALUE"""),"NHNo Yên Khánh, H.Yên Khánh, Ninh Bình")</f>
        <v>NHNo Yên Khánh, H.Yên Khánh, Ninh Bình</v>
      </c>
      <c r="G526" s="46" t="str">
        <f>IFERROR(__xludf.DUMMYFUNCTION("""COMPUTED_VALUE"""),"Máy rác nhiều")</f>
        <v>Máy rác nhiều</v>
      </c>
      <c r="H526" s="46"/>
      <c r="I526" s="46"/>
      <c r="J526" s="46" t="str">
        <f>IFERROR(__xludf.DUMMYFUNCTION("""COMPUTED_VALUE"""),"Vệ sinh lại bộ phận trả tiền, căn chỉnh lại răng lược.")</f>
        <v>Vệ sinh lại bộ phận trả tiền, căn chỉnh lại răng lược.</v>
      </c>
      <c r="K526" s="46"/>
      <c r="L526" s="46"/>
      <c r="M526" s="46"/>
      <c r="N526" s="46"/>
      <c r="O526" s="46"/>
      <c r="P526" s="46"/>
      <c r="Q526" s="46" t="str">
        <f>IFERROR(__xludf.DUMMYFUNCTION("""COMPUTED_VALUE"""),"Hoàn thành")</f>
        <v>Hoàn thành</v>
      </c>
      <c r="R526" s="46"/>
      <c r="S526" s="46"/>
      <c r="T526" s="46"/>
      <c r="U526" s="46"/>
      <c r="V526" s="46"/>
      <c r="W526" s="46"/>
      <c r="X526" s="46"/>
      <c r="Y526" s="46"/>
      <c r="Z526" s="46"/>
      <c r="AA526" s="46"/>
    </row>
    <row r="527">
      <c r="A527" s="55">
        <f>IFERROR(__xludf.DUMMYFUNCTION("""COMPUTED_VALUE"""),44344.46179354167)</f>
        <v>44344.46179</v>
      </c>
      <c r="B527" s="56">
        <f>IFERROR(__xludf.DUMMYFUNCTION("""COMPUTED_VALUE"""),44315.0)</f>
        <v>44315</v>
      </c>
      <c r="C527" s="59" t="str">
        <f t="shared" si="3"/>
        <v>Báo cáo muộn</v>
      </c>
      <c r="D527" s="46" t="str">
        <f>IFERROR(__xludf.DUMMYFUNCTION("""COMPUTED_VALUE"""),"HaNH")</f>
        <v>HaNH</v>
      </c>
      <c r="E527" s="57" t="str">
        <f>IFERROR(__xludf.DUMMYFUNCTION("""COMPUTED_VALUE"""),"5300380063")</f>
        <v>5300380063</v>
      </c>
      <c r="F527" s="46" t="str">
        <f>IFERROR(__xludf.DUMMYFUNCTION("""COMPUTED_VALUE"""),"Thị trấn Vương - Tiên Lữ - Hưng Yên")</f>
        <v>Thị trấn Vương - Tiên Lữ - Hưng Yên</v>
      </c>
      <c r="G527" s="46" t="str">
        <f>IFERROR(__xludf.DUMMYFUNCTION("""COMPUTED_VALUE"""),"Máy hay kẹt tiền.")</f>
        <v>Máy hay kẹt tiền.</v>
      </c>
      <c r="H527" s="46"/>
      <c r="I527" s="46"/>
      <c r="J527" s="46" t="str">
        <f>IFERROR(__xludf.DUMMYFUNCTION("""COMPUTED_VALUE"""),"Vệ sinh lại bộ phận trả tiền, chuyển các gap về B")</f>
        <v>Vệ sinh lại bộ phận trả tiền, chuyển các gap về B</v>
      </c>
      <c r="K527" s="46"/>
      <c r="L527" s="46"/>
      <c r="M527" s="46"/>
      <c r="N527" s="46"/>
      <c r="O527" s="46"/>
      <c r="P527" s="46"/>
      <c r="Q527" s="46" t="str">
        <f>IFERROR(__xludf.DUMMYFUNCTION("""COMPUTED_VALUE"""),"Hoàn thành")</f>
        <v>Hoàn thành</v>
      </c>
      <c r="R527" s="46"/>
      <c r="S527" s="46"/>
      <c r="T527" s="46"/>
      <c r="U527" s="46"/>
      <c r="V527" s="46"/>
      <c r="W527" s="46"/>
      <c r="X527" s="46"/>
      <c r="Y527" s="46"/>
      <c r="Z527" s="46"/>
      <c r="AA527" s="46"/>
    </row>
    <row r="528">
      <c r="A528" s="55">
        <f>IFERROR(__xludf.DUMMYFUNCTION("""COMPUTED_VALUE"""),44344.462682743055)</f>
        <v>44344.46268</v>
      </c>
      <c r="B528" s="56">
        <f>IFERROR(__xludf.DUMMYFUNCTION("""COMPUTED_VALUE"""),44321.0)</f>
        <v>44321</v>
      </c>
      <c r="C528" s="59" t="str">
        <f t="shared" si="3"/>
        <v>Báo cáo muộn</v>
      </c>
      <c r="D528" s="46" t="str">
        <f>IFERROR(__xludf.DUMMYFUNCTION("""COMPUTED_VALUE"""),"HaNH")</f>
        <v>HaNH</v>
      </c>
      <c r="E528" s="57" t="str">
        <f>IFERROR(__xludf.DUMMYFUNCTION("""COMPUTED_VALUE"""),"56HG707990")</f>
        <v>56HG707990</v>
      </c>
      <c r="F528" s="46" t="str">
        <f>IFERROR(__xludf.DUMMYFUNCTION("""COMPUTED_VALUE"""),"PGD Lục Nam - Số 375 Phố Bình Minh, TT Đồi Ngô, Huyện Lục Nam , TT Bắc Giang")</f>
        <v>PGD Lục Nam - Số 375 Phố Bình Minh, TT Đồi Ngô, Huyện Lục Nam , TT Bắc Giang</v>
      </c>
      <c r="G528" s="46" t="str">
        <f>IFERROR(__xludf.DUMMYFUNCTION("""COMPUTED_VALUE"""),"Máy lỗi bộ phận trả tiền")</f>
        <v>Máy lỗi bộ phận trả tiền</v>
      </c>
      <c r="H528" s="46"/>
      <c r="I528" s="46"/>
      <c r="J528" s="46" t="str">
        <f>IFERROR(__xludf.DUMMYFUNCTION("""COMPUTED_VALUE"""),"Máy lỗi 9-0, vệ sinh lai bộ phận trả tiền.")</f>
        <v>Máy lỗi 9-0, vệ sinh lai bộ phận trả tiền.</v>
      </c>
      <c r="K528" s="46"/>
      <c r="L528" s="46"/>
      <c r="M528" s="46"/>
      <c r="N528" s="46"/>
      <c r="O528" s="46"/>
      <c r="P528" s="46"/>
      <c r="Q528" s="46" t="str">
        <f>IFERROR(__xludf.DUMMYFUNCTION("""COMPUTED_VALUE"""),"Hoàn thành")</f>
        <v>Hoàn thành</v>
      </c>
      <c r="R528" s="46"/>
      <c r="S528" s="46"/>
      <c r="T528" s="46"/>
      <c r="U528" s="46"/>
      <c r="V528" s="46"/>
      <c r="W528" s="46"/>
      <c r="X528" s="46"/>
      <c r="Y528" s="46"/>
      <c r="Z528" s="46"/>
      <c r="AA528" s="46"/>
    </row>
    <row r="529">
      <c r="A529" s="55">
        <f>IFERROR(__xludf.DUMMYFUNCTION("""COMPUTED_VALUE"""),44344.46367547454)</f>
        <v>44344.46368</v>
      </c>
      <c r="B529" s="56">
        <f>IFERROR(__xludf.DUMMYFUNCTION("""COMPUTED_VALUE"""),44322.0)</f>
        <v>44322</v>
      </c>
      <c r="C529" s="59" t="str">
        <f t="shared" si="3"/>
        <v>Báo cáo muộn</v>
      </c>
      <c r="D529" s="46" t="str">
        <f>IFERROR(__xludf.DUMMYFUNCTION("""COMPUTED_VALUE"""),"HaNH")</f>
        <v>HaNH</v>
      </c>
      <c r="E529" s="57" t="str">
        <f>IFERROR(__xludf.DUMMYFUNCTION("""COMPUTED_VALUE"""),"5300380550")</f>
        <v>5300380550</v>
      </c>
      <c r="F529" s="46" t="str">
        <f>IFERROR(__xludf.DUMMYFUNCTION("""COMPUTED_VALUE"""),"Tầng 1,2,3 Tòa Diamond Flower Tower - 48 Lê Văn Lương, Thanh Xuân, Hà Nội")</f>
        <v>Tầng 1,2,3 Tòa Diamond Flower Tower - 48 Lê Văn Lương, Thanh Xuân, Hà Nội</v>
      </c>
      <c r="G529" s="46" t="str">
        <f>IFERROR(__xludf.DUMMYFUNCTION("""COMPUTED_VALUE"""),"Máy không rút được tiền tầng 200k")</f>
        <v>Máy không rút được tiền tầng 200k</v>
      </c>
      <c r="H529" s="46"/>
      <c r="I529" s="46"/>
      <c r="J529" s="46" t="str">
        <f>IFERROR(__xludf.DUMMYFUNCTION("""COMPUTED_VALUE"""),"Nắn lại răng lược tầng 200k")</f>
        <v>Nắn lại răng lược tầng 200k</v>
      </c>
      <c r="K529" s="46"/>
      <c r="L529" s="46"/>
      <c r="M529" s="46"/>
      <c r="N529" s="46"/>
      <c r="O529" s="46"/>
      <c r="P529" s="46"/>
      <c r="Q529" s="46" t="str">
        <f>IFERROR(__xludf.DUMMYFUNCTION("""COMPUTED_VALUE"""),"Hoàn thành")</f>
        <v>Hoàn thành</v>
      </c>
      <c r="R529" s="46"/>
      <c r="S529" s="46"/>
      <c r="T529" s="46"/>
      <c r="U529" s="46"/>
      <c r="V529" s="46"/>
      <c r="W529" s="46"/>
      <c r="X529" s="46"/>
      <c r="Y529" s="46"/>
      <c r="Z529" s="46"/>
      <c r="AA529" s="46"/>
    </row>
    <row r="530">
      <c r="A530" s="55">
        <f>IFERROR(__xludf.DUMMYFUNCTION("""COMPUTED_VALUE"""),44344.46486295139)</f>
        <v>44344.46486</v>
      </c>
      <c r="B530" s="56">
        <f>IFERROR(__xludf.DUMMYFUNCTION("""COMPUTED_VALUE"""),44323.0)</f>
        <v>44323</v>
      </c>
      <c r="C530" s="59" t="str">
        <f t="shared" si="3"/>
        <v>Báo cáo muộn</v>
      </c>
      <c r="D530" s="46" t="str">
        <f>IFERROR(__xludf.DUMMYFUNCTION("""COMPUTED_VALUE"""),"HaNH")</f>
        <v>HaNH</v>
      </c>
      <c r="E530" s="57" t="str">
        <f>IFERROR(__xludf.DUMMYFUNCTION("""COMPUTED_VALUE"""),"5300381628")</f>
        <v>5300381628</v>
      </c>
      <c r="F530" s="46" t="str">
        <f>IFERROR(__xludf.DUMMYFUNCTION("""COMPUTED_VALUE"""),"NHNo huyện Đồng Hỷ, thị trấn Chùa Hang, huyện Đồng Hỷ, Thái Nguyên")</f>
        <v>NHNo huyện Đồng Hỷ, thị trấn Chùa Hang, huyện Đồng Hỷ, Thái Nguyên</v>
      </c>
      <c r="G530" s="46" t="str">
        <f>IFERROR(__xludf.DUMMYFUNCTION("""COMPUTED_VALUE"""),"Lỗi Clamp")</f>
        <v>Lỗi Clamp</v>
      </c>
      <c r="H530" s="46"/>
      <c r="I530" s="46"/>
      <c r="J530" s="46" t="str">
        <f>IFERROR(__xludf.DUMMYFUNCTION("""COMPUTED_VALUE"""),"Thay thế Clamp mang theo")</f>
        <v>Thay thế Clamp mang theo</v>
      </c>
      <c r="K530" s="46"/>
      <c r="L530" s="46"/>
      <c r="M530" s="46"/>
      <c r="N530" s="46"/>
      <c r="O530" s="46"/>
      <c r="P530" s="46"/>
      <c r="Q530" s="46" t="str">
        <f>IFERROR(__xludf.DUMMYFUNCTION("""COMPUTED_VALUE"""),"Hoàn thành")</f>
        <v>Hoàn thành</v>
      </c>
      <c r="R530" s="46"/>
      <c r="S530" s="46"/>
      <c r="T530" s="46"/>
      <c r="U530" s="46"/>
      <c r="V530" s="46"/>
      <c r="W530" s="46"/>
      <c r="X530" s="46"/>
      <c r="Y530" s="46"/>
      <c r="Z530" s="46"/>
      <c r="AA530" s="46"/>
    </row>
    <row r="531">
      <c r="A531" s="55">
        <f>IFERROR(__xludf.DUMMYFUNCTION("""COMPUTED_VALUE"""),44344.465915486115)</f>
        <v>44344.46592</v>
      </c>
      <c r="B531" s="56">
        <f>IFERROR(__xludf.DUMMYFUNCTION("""COMPUTED_VALUE"""),44325.0)</f>
        <v>44325</v>
      </c>
      <c r="C531" s="59" t="str">
        <f t="shared" si="3"/>
        <v>Báo cáo muộn</v>
      </c>
      <c r="D531" s="46" t="str">
        <f>IFERROR(__xludf.DUMMYFUNCTION("""COMPUTED_VALUE"""),"HaNH")</f>
        <v>HaNH</v>
      </c>
      <c r="E531" s="57" t="str">
        <f>IFERROR(__xludf.DUMMYFUNCTION("""COMPUTED_VALUE"""),"5300381717")</f>
        <v>5300381717</v>
      </c>
      <c r="F531" s="46" t="str">
        <f>IFERROR(__xludf.DUMMYFUNCTION("""COMPUTED_VALUE"""),"Thị trấn Ngọc Lặc, Ngọc Lặc, Thanh Hóa")</f>
        <v>Thị trấn Ngọc Lặc, Ngọc Lặc, Thanh Hóa</v>
      </c>
      <c r="G531" s="46" t="str">
        <f>IFERROR(__xludf.DUMMYFUNCTION("""COMPUTED_VALUE"""),"Máy không lên tiền tầng 200k")</f>
        <v>Máy không lên tiền tầng 200k</v>
      </c>
      <c r="H531" s="46"/>
      <c r="I531" s="46"/>
      <c r="J531" s="46" t="str">
        <f>IFERROR(__xludf.DUMMYFUNCTION("""COMPUTED_VALUE"""),"Vệ sinh lại bộ phận trả tiền, chuyển Gap A")</f>
        <v>Vệ sinh lại bộ phận trả tiền, chuyển Gap A</v>
      </c>
      <c r="K531" s="46"/>
      <c r="L531" s="46"/>
      <c r="M531" s="46"/>
      <c r="N531" s="46"/>
      <c r="O531" s="46"/>
      <c r="P531" s="46"/>
      <c r="Q531" s="46" t="str">
        <f>IFERROR(__xludf.DUMMYFUNCTION("""COMPUTED_VALUE"""),"Hoàn thành")</f>
        <v>Hoàn thành</v>
      </c>
      <c r="R531" s="46"/>
      <c r="S531" s="46"/>
      <c r="T531" s="46"/>
      <c r="U531" s="46"/>
      <c r="V531" s="46"/>
      <c r="W531" s="46"/>
      <c r="X531" s="46"/>
      <c r="Y531" s="46"/>
      <c r="Z531" s="46"/>
      <c r="AA531" s="46"/>
    </row>
    <row r="532">
      <c r="A532" s="55">
        <f>IFERROR(__xludf.DUMMYFUNCTION("""COMPUTED_VALUE"""),44344.477065405095)</f>
        <v>44344.47707</v>
      </c>
      <c r="B532" s="56">
        <f>IFERROR(__xludf.DUMMYFUNCTION("""COMPUTED_VALUE"""),44327.0)</f>
        <v>44327</v>
      </c>
      <c r="C532" s="59" t="str">
        <f t="shared" si="3"/>
        <v>Báo cáo muộn</v>
      </c>
      <c r="D532" s="46" t="str">
        <f>IFERROR(__xludf.DUMMYFUNCTION("""COMPUTED_VALUE"""),"HaNH")</f>
        <v>HaNH</v>
      </c>
      <c r="E532" s="57" t="str">
        <f>IFERROR(__xludf.DUMMYFUNCTION("""COMPUTED_VALUE"""),"J821001572")</f>
        <v>J821001572</v>
      </c>
      <c r="F532" s="46" t="str">
        <f>IFERROR(__xludf.DUMMYFUNCTION("""COMPUTED_VALUE"""),"102-103 K2 Khu 7,2ha Vĩnh Phúc- Ba Đình- Hà Nội – Việt Nam")</f>
        <v>102-103 K2 Khu 7,2ha Vĩnh Phúc- Ba Đình- Hà Nội – Việt Nam</v>
      </c>
      <c r="G532" s="46" t="str">
        <f>IFERROR(__xludf.DUMMYFUNCTION("""COMPUTED_VALUE"""),"Lỗi Máy in hoá đơn")</f>
        <v>Lỗi Máy in hoá đơn</v>
      </c>
      <c r="H532" s="46"/>
      <c r="I532" s="46"/>
      <c r="J532" s="46" t="str">
        <f>IFERROR(__xludf.DUMMYFUNCTION("""COMPUTED_VALUE"""),"Thay thế vòng cao su bị nhão")</f>
        <v>Thay thế vòng cao su bị nhão</v>
      </c>
      <c r="K532" s="46"/>
      <c r="L532" s="46"/>
      <c r="M532" s="46"/>
      <c r="N532" s="46"/>
      <c r="O532" s="46"/>
      <c r="P532" s="46"/>
      <c r="Q532" s="46" t="str">
        <f>IFERROR(__xludf.DUMMYFUNCTION("""COMPUTED_VALUE"""),"Hoàn thành")</f>
        <v>Hoàn thành</v>
      </c>
      <c r="R532" s="46"/>
      <c r="S532" s="46"/>
      <c r="T532" s="46"/>
      <c r="U532" s="46"/>
      <c r="V532" s="46"/>
      <c r="W532" s="46"/>
      <c r="X532" s="46"/>
      <c r="Y532" s="46"/>
      <c r="Z532" s="46"/>
      <c r="AA532" s="46"/>
    </row>
    <row r="533">
      <c r="A533" s="55">
        <f>IFERROR(__xludf.DUMMYFUNCTION("""COMPUTED_VALUE"""),44344.47856866899)</f>
        <v>44344.47857</v>
      </c>
      <c r="B533" s="56">
        <f>IFERROR(__xludf.DUMMYFUNCTION("""COMPUTED_VALUE"""),44327.0)</f>
        <v>44327</v>
      </c>
      <c r="C533" s="59" t="str">
        <f t="shared" si="3"/>
        <v>Báo cáo muộn</v>
      </c>
      <c r="D533" s="46" t="str">
        <f>IFERROR(__xludf.DUMMYFUNCTION("""COMPUTED_VALUE"""),"HaNH")</f>
        <v>HaNH</v>
      </c>
      <c r="E533" s="57" t="str">
        <f>IFERROR(__xludf.DUMMYFUNCTION("""COMPUTED_VALUE"""),"5300380278")</f>
        <v>5300380278</v>
      </c>
      <c r="F533" s="46" t="str">
        <f>IFERROR(__xludf.DUMMYFUNCTION("""COMPUTED_VALUE"""),"PGD Đại học Nông Nghiệp 1- Trân Quỳ- Gia Lâm")</f>
        <v>PGD Đại học Nông Nghiệp 1- Trân Quỳ- Gia Lâm</v>
      </c>
      <c r="G533" s="46" t="str">
        <f>IFERROR(__xludf.DUMMYFUNCTION("""COMPUTED_VALUE"""),"Bảo trì")</f>
        <v>Bảo trì</v>
      </c>
      <c r="H533" s="46"/>
      <c r="I533" s="46"/>
      <c r="J533" s="46" t="str">
        <f>IFERROR(__xludf.DUMMYFUNCTION("""COMPUTED_VALUE"""),"Bảo trì (Đầu đọc thẻ bị lỗi chỉ đọc được thẻ chip)")</f>
        <v>Bảo trì (Đầu đọc thẻ bị lỗi chỉ đọc được thẻ chip)</v>
      </c>
      <c r="K533" s="46"/>
      <c r="L533" s="46"/>
      <c r="M533" s="46"/>
      <c r="N533" s="46"/>
      <c r="O533" s="46"/>
      <c r="P533" s="46"/>
      <c r="Q533" s="46" t="str">
        <f>IFERROR(__xludf.DUMMYFUNCTION("""COMPUTED_VALUE"""),"Hoàn thành")</f>
        <v>Hoàn thành</v>
      </c>
      <c r="R533" s="46"/>
      <c r="S533" s="46"/>
      <c r="T533" s="46"/>
      <c r="U533" s="46"/>
      <c r="V533" s="46"/>
      <c r="W533" s="46"/>
      <c r="X533" s="46"/>
      <c r="Y533" s="46"/>
      <c r="Z533" s="46"/>
      <c r="AA533" s="46"/>
    </row>
    <row r="534">
      <c r="A534" s="55">
        <f>IFERROR(__xludf.DUMMYFUNCTION("""COMPUTED_VALUE"""),44344.47994820602)</f>
        <v>44344.47995</v>
      </c>
      <c r="B534" s="56">
        <f>IFERROR(__xludf.DUMMYFUNCTION("""COMPUTED_VALUE"""),44328.0)</f>
        <v>44328</v>
      </c>
      <c r="C534" s="59" t="str">
        <f t="shared" si="3"/>
        <v>Báo cáo muộn</v>
      </c>
      <c r="D534" s="46" t="str">
        <f>IFERROR(__xludf.DUMMYFUNCTION("""COMPUTED_VALUE"""),"HaNH")</f>
        <v>HaNH</v>
      </c>
      <c r="E534" s="57" t="str">
        <f>IFERROR(__xludf.DUMMYFUNCTION("""COMPUTED_VALUE"""),"5300380659")</f>
        <v>5300380659</v>
      </c>
      <c r="F534" s="46" t="str">
        <f>IFERROR(__xludf.DUMMYFUNCTION("""COMPUTED_VALUE"""),"NHNo huyện Phú Lương, TT Đu, huyện Phú Lương, Thái Nguyên")</f>
        <v>NHNo huyện Phú Lương, TT Đu, huyện Phú Lương, Thái Nguyên</v>
      </c>
      <c r="G534" s="46" t="str">
        <f>IFERROR(__xludf.DUMMYFUNCTION("""COMPUTED_VALUE"""),"Máy lỗi Clamp")</f>
        <v>Máy lỗi Clamp</v>
      </c>
      <c r="H534" s="46"/>
      <c r="I534" s="46"/>
      <c r="J534" s="46" t="str">
        <f>IFERROR(__xludf.DUMMYFUNCTION("""COMPUTED_VALUE"""),"Thay thế khoá vàng Clamp")</f>
        <v>Thay thế khoá vàng Clamp</v>
      </c>
      <c r="K534" s="46"/>
      <c r="L534" s="46"/>
      <c r="M534" s="46"/>
      <c r="N534" s="46"/>
      <c r="O534" s="46"/>
      <c r="P534" s="46"/>
      <c r="Q534" s="46" t="str">
        <f>IFERROR(__xludf.DUMMYFUNCTION("""COMPUTED_VALUE"""),"Hoàn thành")</f>
        <v>Hoàn thành</v>
      </c>
      <c r="R534" s="46"/>
      <c r="S534" s="46"/>
      <c r="T534" s="46"/>
      <c r="U534" s="46"/>
      <c r="V534" s="46"/>
      <c r="W534" s="46"/>
      <c r="X534" s="46"/>
      <c r="Y534" s="46"/>
      <c r="Z534" s="46"/>
      <c r="AA534" s="46"/>
    </row>
    <row r="535">
      <c r="A535" s="55">
        <f>IFERROR(__xludf.DUMMYFUNCTION("""COMPUTED_VALUE"""),44344.48084399306)</f>
        <v>44344.48084</v>
      </c>
      <c r="B535" s="56">
        <f>IFERROR(__xludf.DUMMYFUNCTION("""COMPUTED_VALUE"""),44330.0)</f>
        <v>44330</v>
      </c>
      <c r="C535" s="59" t="str">
        <f t="shared" si="3"/>
        <v>Báo cáo muộn</v>
      </c>
      <c r="D535" s="46" t="str">
        <f>IFERROR(__xludf.DUMMYFUNCTION("""COMPUTED_VALUE"""),"HaNH")</f>
        <v>HaNH</v>
      </c>
      <c r="E535" s="57" t="str">
        <f>IFERROR(__xludf.DUMMYFUNCTION("""COMPUTED_VALUE"""),"5310182628")</f>
        <v>5310182628</v>
      </c>
      <c r="F535" s="46" t="str">
        <f>IFERROR(__xludf.DUMMYFUNCTION("""COMPUTED_VALUE"""),"PGD Bách Nhẫn, xã Hùng Sơn, huyện Hiệp Hòa")</f>
        <v>PGD Bách Nhẫn, xã Hùng Sơn, huyện Hiệp Hòa</v>
      </c>
      <c r="G535" s="46" t="str">
        <f>IFERROR(__xludf.DUMMYFUNCTION("""COMPUTED_VALUE"""),"Máy lỗi bộ phận trả tiền")</f>
        <v>Máy lỗi bộ phận trả tiền</v>
      </c>
      <c r="H535" s="46"/>
      <c r="I535" s="46"/>
      <c r="J535" s="46"/>
      <c r="K535" s="46"/>
      <c r="L535" s="46"/>
      <c r="M535" s="46"/>
      <c r="N535" s="46"/>
      <c r="O535" s="46"/>
      <c r="P535" s="46"/>
      <c r="Q535" s="46" t="str">
        <f>IFERROR(__xludf.DUMMYFUNCTION("""COMPUTED_VALUE"""),"Hoàn thành")</f>
        <v>Hoàn thành</v>
      </c>
      <c r="R535" s="46"/>
      <c r="S535" s="46"/>
      <c r="T535" s="46"/>
      <c r="U535" s="46"/>
      <c r="V535" s="46"/>
      <c r="W535" s="46"/>
      <c r="X535" s="46"/>
      <c r="Y535" s="46"/>
      <c r="Z535" s="46"/>
      <c r="AA535" s="46"/>
    </row>
    <row r="536">
      <c r="A536" s="55">
        <f>IFERROR(__xludf.DUMMYFUNCTION("""COMPUTED_VALUE"""),44344.48214516204)</f>
        <v>44344.48215</v>
      </c>
      <c r="B536" s="56">
        <f>IFERROR(__xludf.DUMMYFUNCTION("""COMPUTED_VALUE"""),44330.0)</f>
        <v>44330</v>
      </c>
      <c r="C536" s="59" t="str">
        <f t="shared" si="3"/>
        <v>Báo cáo muộn</v>
      </c>
      <c r="D536" s="46" t="str">
        <f>IFERROR(__xludf.DUMMYFUNCTION("""COMPUTED_VALUE"""),"HaNH")</f>
        <v>HaNH</v>
      </c>
      <c r="E536" s="57" t="str">
        <f>IFERROR(__xludf.DUMMYFUNCTION("""COMPUTED_VALUE"""),"5310182628")</f>
        <v>5310182628</v>
      </c>
      <c r="F536" s="46" t="str">
        <f>IFERROR(__xludf.DUMMYFUNCTION("""COMPUTED_VALUE"""),"PGD Bách Nhẫn, xã Hùng Sơn, huyện Hiệp Hòa")</f>
        <v>PGD Bách Nhẫn, xã Hùng Sơn, huyện Hiệp Hòa</v>
      </c>
      <c r="G536" s="46" t="str">
        <f>IFERROR(__xludf.DUMMYFUNCTION("""COMPUTED_VALUE"""),"Lỗi BPTT")</f>
        <v>Lỗi BPTT</v>
      </c>
      <c r="H536" s="46"/>
      <c r="I536" s="46"/>
      <c r="J536" s="46" t="str">
        <f>IFERROR(__xludf.DUMMYFUNCTION("""COMPUTED_VALUE"""),"Vệ sinh lại bộ phận trả tiền (Khuyến cáo khách về điều hoà cho máy ATM)")</f>
        <v>Vệ sinh lại bộ phận trả tiền (Khuyến cáo khách về điều hoà cho máy ATM)</v>
      </c>
      <c r="K536" s="46"/>
      <c r="L536" s="46"/>
      <c r="M536" s="46"/>
      <c r="N536" s="46"/>
      <c r="O536" s="46"/>
      <c r="P536" s="46"/>
      <c r="Q536" s="46" t="str">
        <f>IFERROR(__xludf.DUMMYFUNCTION("""COMPUTED_VALUE"""),"Hoàn thành")</f>
        <v>Hoàn thành</v>
      </c>
      <c r="R536" s="46"/>
      <c r="S536" s="46"/>
      <c r="T536" s="46"/>
      <c r="U536" s="46"/>
      <c r="V536" s="46"/>
      <c r="W536" s="46"/>
      <c r="X536" s="46"/>
      <c r="Y536" s="46"/>
      <c r="Z536" s="46"/>
      <c r="AA536" s="46"/>
    </row>
    <row r="537">
      <c r="A537" s="55">
        <f>IFERROR(__xludf.DUMMYFUNCTION("""COMPUTED_VALUE"""),44344.48290346065)</f>
        <v>44344.4829</v>
      </c>
      <c r="B537" s="56">
        <f>IFERROR(__xludf.DUMMYFUNCTION("""COMPUTED_VALUE"""),44333.0)</f>
        <v>44333</v>
      </c>
      <c r="C537" s="59" t="str">
        <f t="shared" si="3"/>
        <v>Báo cáo muộn</v>
      </c>
      <c r="D537" s="46" t="str">
        <f>IFERROR(__xludf.DUMMYFUNCTION("""COMPUTED_VALUE"""),"HaNH")</f>
        <v>HaNH</v>
      </c>
      <c r="E537" s="57" t="str">
        <f>IFERROR(__xludf.DUMMYFUNCTION("""COMPUTED_VALUE"""),"56HG707968")</f>
        <v>56HG707968</v>
      </c>
      <c r="F537" s="46" t="str">
        <f>IFERROR(__xludf.DUMMYFUNCTION("""COMPUTED_VALUE"""),"Nhà máy Z179 - Thanh Trì, Hà Nội")</f>
        <v>Nhà máy Z179 - Thanh Trì, Hà Nội</v>
      </c>
      <c r="G537" s="46" t="str">
        <f>IFERROR(__xludf.DUMMYFUNCTION("""COMPUTED_VALUE"""),"Máy rác nhiều")</f>
        <v>Máy rác nhiều</v>
      </c>
      <c r="H537" s="46"/>
      <c r="I537" s="46"/>
      <c r="J537" s="46" t="str">
        <f>IFERROR(__xludf.DUMMYFUNCTION("""COMPUTED_VALUE"""),"Chuyển Gap A-&gt;B tầng 50")</f>
        <v>Chuyển Gap A-&gt;B tầng 50</v>
      </c>
      <c r="K537" s="46"/>
      <c r="L537" s="46"/>
      <c r="M537" s="46"/>
      <c r="N537" s="46"/>
      <c r="O537" s="46"/>
      <c r="P537" s="46"/>
      <c r="Q537" s="46" t="str">
        <f>IFERROR(__xludf.DUMMYFUNCTION("""COMPUTED_VALUE"""),"Hoàn thành")</f>
        <v>Hoàn thành</v>
      </c>
      <c r="R537" s="46"/>
      <c r="S537" s="46"/>
      <c r="T537" s="46"/>
      <c r="U537" s="46"/>
      <c r="V537" s="46"/>
      <c r="W537" s="46"/>
      <c r="X537" s="46"/>
      <c r="Y537" s="46"/>
      <c r="Z537" s="46"/>
      <c r="AA537" s="46"/>
    </row>
    <row r="538">
      <c r="A538" s="55">
        <f>IFERROR(__xludf.DUMMYFUNCTION("""COMPUTED_VALUE"""),44344.48370239583)</f>
        <v>44344.4837</v>
      </c>
      <c r="B538" s="56">
        <f>IFERROR(__xludf.DUMMYFUNCTION("""COMPUTED_VALUE"""),44333.0)</f>
        <v>44333</v>
      </c>
      <c r="C538" s="59" t="str">
        <f t="shared" si="3"/>
        <v>Báo cáo muộn</v>
      </c>
      <c r="D538" s="46" t="str">
        <f>IFERROR(__xludf.DUMMYFUNCTION("""COMPUTED_VALUE"""),"HaNH")</f>
        <v>HaNH</v>
      </c>
      <c r="E538" s="57" t="str">
        <f>IFERROR(__xludf.DUMMYFUNCTION("""COMPUTED_VALUE"""),"56HG707962")</f>
        <v>56HG707962</v>
      </c>
      <c r="F538" s="46" t="str">
        <f>IFERROR(__xludf.DUMMYFUNCTION("""COMPUTED_VALUE"""),"Tòa nhà An &amp; Huy, Khu CN Ngọc Hồi, Thanh Trì, Hà Nội")</f>
        <v>Tòa nhà An &amp; Huy, Khu CN Ngọc Hồi, Thanh Trì, Hà Nội</v>
      </c>
      <c r="G538" s="46" t="str">
        <f>IFERROR(__xludf.DUMMYFUNCTION("""COMPUTED_VALUE"""),"Máy lỗi 9-0")</f>
        <v>Máy lỗi 9-0</v>
      </c>
      <c r="H538" s="46"/>
      <c r="I538" s="46"/>
      <c r="J538" s="46" t="str">
        <f>IFERROR(__xludf.DUMMYFUNCTION("""COMPUTED_VALUE"""),"Thay thế Pre mang theo")</f>
        <v>Thay thế Pre mang theo</v>
      </c>
      <c r="K538" s="46"/>
      <c r="L538" s="46"/>
      <c r="M538" s="46"/>
      <c r="N538" s="46"/>
      <c r="O538" s="46"/>
      <c r="P538" s="46"/>
      <c r="Q538" s="46" t="str">
        <f>IFERROR(__xludf.DUMMYFUNCTION("""COMPUTED_VALUE"""),"Hoàn thành")</f>
        <v>Hoàn thành</v>
      </c>
      <c r="R538" s="46"/>
      <c r="S538" s="46"/>
      <c r="T538" s="46"/>
      <c r="U538" s="46"/>
      <c r="V538" s="46"/>
      <c r="W538" s="46"/>
      <c r="X538" s="46"/>
      <c r="Y538" s="46"/>
      <c r="Z538" s="46"/>
      <c r="AA538" s="46"/>
    </row>
    <row r="539">
      <c r="A539" s="55">
        <f>IFERROR(__xludf.DUMMYFUNCTION("""COMPUTED_VALUE"""),44344.48448841435)</f>
        <v>44344.48449</v>
      </c>
      <c r="B539" s="56">
        <f>IFERROR(__xludf.DUMMYFUNCTION("""COMPUTED_VALUE"""),44334.0)</f>
        <v>44334</v>
      </c>
      <c r="C539" s="59" t="str">
        <f t="shared" si="3"/>
        <v>Báo cáo muộn</v>
      </c>
      <c r="D539" s="46" t="str">
        <f>IFERROR(__xludf.DUMMYFUNCTION("""COMPUTED_VALUE"""),"HaNH")</f>
        <v>HaNH</v>
      </c>
      <c r="E539" s="57" t="str">
        <f>IFERROR(__xludf.DUMMYFUNCTION("""COMPUTED_VALUE"""),"5310105856")</f>
        <v>5310105856</v>
      </c>
      <c r="F539" s="46" t="str">
        <f>IFERROR(__xludf.DUMMYFUNCTION("""COMPUTED_VALUE"""),"Thị trấn Như Quỳnh (tòa nhà 5 tầng), huyện Văn Lâm, Hưng Yên")</f>
        <v>Thị trấn Như Quỳnh (tòa nhà 5 tầng), huyện Văn Lâm, Hưng Yên</v>
      </c>
      <c r="G539" s="46" t="str">
        <f>IFERROR(__xludf.DUMMYFUNCTION("""COMPUTED_VALUE"""),"Máy lỗi cửa Shutter")</f>
        <v>Máy lỗi cửa Shutter</v>
      </c>
      <c r="H539" s="46"/>
      <c r="I539" s="46"/>
      <c r="J539" s="46" t="str">
        <f>IFERROR(__xludf.DUMMYFUNCTION("""COMPUTED_VALUE"""),"Thay thế cửa Shutter")</f>
        <v>Thay thế cửa Shutter</v>
      </c>
      <c r="K539" s="46"/>
      <c r="L539" s="46"/>
      <c r="M539" s="46"/>
      <c r="N539" s="46"/>
      <c r="O539" s="46"/>
      <c r="P539" s="46"/>
      <c r="Q539" s="46" t="str">
        <f>IFERROR(__xludf.DUMMYFUNCTION("""COMPUTED_VALUE"""),"Hoàn thành")</f>
        <v>Hoàn thành</v>
      </c>
      <c r="R539" s="46"/>
      <c r="S539" s="46"/>
      <c r="T539" s="46"/>
      <c r="U539" s="46"/>
      <c r="V539" s="46"/>
      <c r="W539" s="46"/>
      <c r="X539" s="46"/>
      <c r="Y539" s="46"/>
      <c r="Z539" s="46"/>
      <c r="AA539" s="46"/>
    </row>
    <row r="540">
      <c r="A540" s="55">
        <f>IFERROR(__xludf.DUMMYFUNCTION("""COMPUTED_VALUE"""),44344.48517181713)</f>
        <v>44344.48517</v>
      </c>
      <c r="B540" s="56">
        <f>IFERROR(__xludf.DUMMYFUNCTION("""COMPUTED_VALUE"""),44335.0)</f>
        <v>44335</v>
      </c>
      <c r="C540" s="59" t="str">
        <f t="shared" si="3"/>
        <v>Báo cáo muộn</v>
      </c>
      <c r="D540" s="46" t="str">
        <f>IFERROR(__xludf.DUMMYFUNCTION("""COMPUTED_VALUE"""),"HaNH")</f>
        <v>HaNH</v>
      </c>
      <c r="E540" s="57" t="str">
        <f>IFERROR(__xludf.DUMMYFUNCTION("""COMPUTED_VALUE"""),"5310107327")</f>
        <v>5310107327</v>
      </c>
      <c r="F540" s="46" t="str">
        <f>IFERROR(__xludf.DUMMYFUNCTION("""COMPUTED_VALUE"""),"Phố Trung Yên, thị trấn Yên Thịnh, huyện Yên Mô, Ninh Bình")</f>
        <v>Phố Trung Yên, thị trấn Yên Thịnh, huyện Yên Mô, Ninh Bình</v>
      </c>
      <c r="G540" s="46" t="str">
        <f>IFERROR(__xludf.DUMMYFUNCTION("""COMPUTED_VALUE"""),"Máy lỗi đầu đọc thẻ, lỗi Clamp")</f>
        <v>Máy lỗi đầu đọc thẻ, lỗi Clamp</v>
      </c>
      <c r="H540" s="46"/>
      <c r="I540" s="46"/>
      <c r="J540" s="46" t="str">
        <f>IFERROR(__xludf.DUMMYFUNCTION("""COMPUTED_VALUE"""),"Thay thế đầu đọc thẻ, cạo lại cáp Clamp")</f>
        <v>Thay thế đầu đọc thẻ, cạo lại cáp Clamp</v>
      </c>
      <c r="K540" s="46"/>
      <c r="L540" s="46"/>
      <c r="M540" s="46"/>
      <c r="N540" s="46"/>
      <c r="O540" s="46"/>
      <c r="P540" s="46"/>
      <c r="Q540" s="46" t="str">
        <f>IFERROR(__xludf.DUMMYFUNCTION("""COMPUTED_VALUE"""),"Hoàn thành")</f>
        <v>Hoàn thành</v>
      </c>
      <c r="R540" s="46"/>
      <c r="S540" s="46"/>
      <c r="T540" s="46"/>
      <c r="U540" s="46"/>
      <c r="V540" s="46"/>
      <c r="W540" s="46"/>
      <c r="X540" s="46"/>
      <c r="Y540" s="46"/>
      <c r="Z540" s="46"/>
      <c r="AA540" s="46"/>
    </row>
    <row r="541">
      <c r="A541" s="55">
        <f>IFERROR(__xludf.DUMMYFUNCTION("""COMPUTED_VALUE"""),44344.48603511574)</f>
        <v>44344.48604</v>
      </c>
      <c r="B541" s="56">
        <f>IFERROR(__xludf.DUMMYFUNCTION("""COMPUTED_VALUE"""),44336.0)</f>
        <v>44336</v>
      </c>
      <c r="C541" s="59" t="str">
        <f t="shared" si="3"/>
        <v>Báo cáo muộn</v>
      </c>
      <c r="D541" s="46" t="str">
        <f>IFERROR(__xludf.DUMMYFUNCTION("""COMPUTED_VALUE"""),"HaNH")</f>
        <v>HaNH</v>
      </c>
      <c r="E541" s="57" t="str">
        <f>IFERROR(__xludf.DUMMYFUNCTION("""COMPUTED_VALUE"""),"5310105856")</f>
        <v>5310105856</v>
      </c>
      <c r="F541" s="46" t="str">
        <f>IFERROR(__xludf.DUMMYFUNCTION("""COMPUTED_VALUE"""),"Thị trấn Như Quỳnh (tòa nhà 5 tầng), huyện Văn Lâm, Hưng Yên")</f>
        <v>Thị trấn Như Quỳnh (tòa nhà 5 tầng), huyện Văn Lâm, Hưng Yên</v>
      </c>
      <c r="G541" s="46" t="str">
        <f>IFERROR(__xludf.DUMMYFUNCTION("""COMPUTED_VALUE"""),"Máy lỗi BPTT")</f>
        <v>Máy lỗi BPTT</v>
      </c>
      <c r="H541" s="46"/>
      <c r="I541" s="46"/>
      <c r="J541" s="46" t="str">
        <f>IFERROR(__xludf.DUMMYFUNCTION("""COMPUTED_VALUE"""),"Vệ sinh lại bộ phận trả tiền, thay thế côn điện tầng 200k")</f>
        <v>Vệ sinh lại bộ phận trả tiền, thay thế côn điện tầng 200k</v>
      </c>
      <c r="K541" s="46"/>
      <c r="L541" s="46"/>
      <c r="M541" s="46"/>
      <c r="N541" s="46"/>
      <c r="O541" s="46"/>
      <c r="P541" s="46"/>
      <c r="Q541" s="46" t="str">
        <f>IFERROR(__xludf.DUMMYFUNCTION("""COMPUTED_VALUE"""),"Hoàn thành")</f>
        <v>Hoàn thành</v>
      </c>
      <c r="R541" s="46"/>
      <c r="S541" s="46"/>
      <c r="T541" s="46"/>
      <c r="U541" s="46"/>
      <c r="V541" s="46"/>
      <c r="W541" s="46"/>
      <c r="X541" s="46"/>
      <c r="Y541" s="46"/>
      <c r="Z541" s="46"/>
      <c r="AA541" s="46"/>
    </row>
    <row r="542">
      <c r="A542" s="55">
        <f>IFERROR(__xludf.DUMMYFUNCTION("""COMPUTED_VALUE"""),44344.486588078704)</f>
        <v>44344.48659</v>
      </c>
      <c r="B542" s="56">
        <f>IFERROR(__xludf.DUMMYFUNCTION("""COMPUTED_VALUE"""),44337.0)</f>
        <v>44337</v>
      </c>
      <c r="C542" s="59" t="str">
        <f t="shared" si="3"/>
        <v>Báo cáo muộn</v>
      </c>
      <c r="D542" s="46" t="str">
        <f>IFERROR(__xludf.DUMMYFUNCTION("""COMPUTED_VALUE"""),"HaNH")</f>
        <v>HaNH</v>
      </c>
      <c r="E542" s="57" t="str">
        <f>IFERROR(__xludf.DUMMYFUNCTION("""COMPUTED_VALUE"""),"5300380006")</f>
        <v>5300380006</v>
      </c>
      <c r="F542" s="46" t="str">
        <f>IFERROR(__xludf.DUMMYFUNCTION("""COMPUTED_VALUE"""),"NHNo Tứ Kỳ - Đường 391 H. Tứ Kỳ - T. Hải Dương")</f>
        <v>NHNo Tứ Kỳ - Đường 391 H. Tứ Kỳ - T. Hải Dương</v>
      </c>
      <c r="G542" s="46" t="str">
        <f>IFERROR(__xludf.DUMMYFUNCTION("""COMPUTED_VALUE"""),"Máy đứt dây cuaroa")</f>
        <v>Máy đứt dây cuaroa</v>
      </c>
      <c r="H542" s="46"/>
      <c r="I542" s="46"/>
      <c r="J542" s="46" t="str">
        <f>IFERROR(__xludf.DUMMYFUNCTION("""COMPUTED_VALUE"""),"Thay thế cặp dây cuaroa ex1")</f>
        <v>Thay thế cặp dây cuaroa ex1</v>
      </c>
      <c r="K542" s="46"/>
      <c r="L542" s="46"/>
      <c r="M542" s="46"/>
      <c r="N542" s="46"/>
      <c r="O542" s="46"/>
      <c r="P542" s="46"/>
      <c r="Q542" s="46" t="str">
        <f>IFERROR(__xludf.DUMMYFUNCTION("""COMPUTED_VALUE"""),"Hoàn thành")</f>
        <v>Hoàn thành</v>
      </c>
      <c r="R542" s="46"/>
      <c r="S542" s="46"/>
      <c r="T542" s="46"/>
      <c r="U542" s="46"/>
      <c r="V542" s="46"/>
      <c r="W542" s="46"/>
      <c r="X542" s="46"/>
      <c r="Y542" s="46"/>
      <c r="Z542" s="46"/>
      <c r="AA542" s="46"/>
    </row>
    <row r="543">
      <c r="A543" s="55">
        <f>IFERROR(__xludf.DUMMYFUNCTION("""COMPUTED_VALUE"""),44344.48718177083)</f>
        <v>44344.48718</v>
      </c>
      <c r="B543" s="56">
        <f>IFERROR(__xludf.DUMMYFUNCTION("""COMPUTED_VALUE"""),44337.0)</f>
        <v>44337</v>
      </c>
      <c r="C543" s="59" t="str">
        <f t="shared" si="3"/>
        <v>Báo cáo muộn</v>
      </c>
      <c r="D543" s="46" t="str">
        <f>IFERROR(__xludf.DUMMYFUNCTION("""COMPUTED_VALUE"""),"HaNH")</f>
        <v>HaNH</v>
      </c>
      <c r="E543" s="57" t="str">
        <f>IFERROR(__xludf.DUMMYFUNCTION("""COMPUTED_VALUE"""),"5300379996")</f>
        <v>5300379996</v>
      </c>
      <c r="F543" s="46" t="str">
        <f>IFERROR(__xludf.DUMMYFUNCTION("""COMPUTED_VALUE"""),"Thị trấn Cao, huyện Phù Cừ, Hưng Yên")</f>
        <v>Thị trấn Cao, huyện Phù Cừ, Hưng Yên</v>
      </c>
      <c r="G543" s="46" t="str">
        <f>IFERROR(__xludf.DUMMYFUNCTION("""COMPUTED_VALUE"""),"Bảo trì")</f>
        <v>Bảo trì</v>
      </c>
      <c r="H543" s="46"/>
      <c r="I543" s="46" t="str">
        <f>IFERROR(__xludf.DUMMYFUNCTION("""COMPUTED_VALUE"""),"Bảo trì")</f>
        <v>Bảo trì</v>
      </c>
      <c r="J543" s="46"/>
      <c r="K543" s="46"/>
      <c r="L543" s="46"/>
      <c r="M543" s="46"/>
      <c r="N543" s="46"/>
      <c r="O543" s="46"/>
      <c r="P543" s="46"/>
      <c r="Q543" s="46" t="str">
        <f>IFERROR(__xludf.DUMMYFUNCTION("""COMPUTED_VALUE"""),"Hoàn thành")</f>
        <v>Hoàn thành</v>
      </c>
      <c r="R543" s="46"/>
      <c r="S543" s="46"/>
      <c r="T543" s="46"/>
      <c r="U543" s="46"/>
      <c r="V543" s="46"/>
      <c r="W543" s="46"/>
      <c r="X543" s="46"/>
      <c r="Y543" s="46"/>
      <c r="Z543" s="46"/>
      <c r="AA543" s="46"/>
    </row>
    <row r="544">
      <c r="A544" s="55">
        <f>IFERROR(__xludf.DUMMYFUNCTION("""COMPUTED_VALUE"""),44344.487858368055)</f>
        <v>44344.48786</v>
      </c>
      <c r="B544" s="56">
        <f>IFERROR(__xludf.DUMMYFUNCTION("""COMPUTED_VALUE"""),44338.0)</f>
        <v>44338</v>
      </c>
      <c r="C544" s="59" t="str">
        <f t="shared" si="3"/>
        <v>Báo cáo muộn</v>
      </c>
      <c r="D544" s="46" t="str">
        <f>IFERROR(__xludf.DUMMYFUNCTION("""COMPUTED_VALUE"""),"HaNH")</f>
        <v>HaNH</v>
      </c>
      <c r="E544" s="57" t="str">
        <f>IFERROR(__xludf.DUMMYFUNCTION("""COMPUTED_VALUE"""),"56HG707950")</f>
        <v>56HG707950</v>
      </c>
      <c r="F544" s="46" t="str">
        <f>IFERROR(__xludf.DUMMYFUNCTION("""COMPUTED_VALUE"""),"Km6 Đại lộ Thăng Long, Phường Tây Mỗ, Quận Nam Từ Liêm, TP Hà Nội")</f>
        <v>Km6 Đại lộ Thăng Long, Phường Tây Mỗ, Quận Nam Từ Liêm, TP Hà Nội</v>
      </c>
      <c r="G544" s="46" t="str">
        <f>IFERROR(__xludf.DUMMYFUNCTION("""COMPUTED_VALUE"""),"Máy báo sai Pin")</f>
        <v>Máy báo sai Pin</v>
      </c>
      <c r="H544" s="46"/>
      <c r="I544" s="46"/>
      <c r="J544" s="46" t="str">
        <f>IFERROR(__xludf.DUMMYFUNCTION("""COMPUTED_VALUE"""),"Nhập lại key bàn phím, đẩy lại kịch bản")</f>
        <v>Nhập lại key bàn phím, đẩy lại kịch bản</v>
      </c>
      <c r="K544" s="46"/>
      <c r="L544" s="46"/>
      <c r="M544" s="46"/>
      <c r="N544" s="46"/>
      <c r="O544" s="46"/>
      <c r="P544" s="46"/>
      <c r="Q544" s="46" t="str">
        <f>IFERROR(__xludf.DUMMYFUNCTION("""COMPUTED_VALUE"""),"Hoàn thành")</f>
        <v>Hoàn thành</v>
      </c>
      <c r="R544" s="46"/>
      <c r="S544" s="46"/>
      <c r="T544" s="46"/>
      <c r="U544" s="46"/>
      <c r="V544" s="46"/>
      <c r="W544" s="46"/>
      <c r="X544" s="46"/>
      <c r="Y544" s="46"/>
      <c r="Z544" s="46"/>
      <c r="AA544" s="46"/>
    </row>
    <row r="545">
      <c r="A545" s="55">
        <f>IFERROR(__xludf.DUMMYFUNCTION("""COMPUTED_VALUE"""),44344.48853701389)</f>
        <v>44344.48854</v>
      </c>
      <c r="B545" s="56">
        <f>IFERROR(__xludf.DUMMYFUNCTION("""COMPUTED_VALUE"""),44340.0)</f>
        <v>44340</v>
      </c>
      <c r="C545" s="59" t="str">
        <f t="shared" si="3"/>
        <v>Báo cáo muộn</v>
      </c>
      <c r="D545" s="46" t="str">
        <f>IFERROR(__xludf.DUMMYFUNCTION("""COMPUTED_VALUE"""),"HaNH")</f>
        <v>HaNH</v>
      </c>
      <c r="E545" s="57" t="str">
        <f>IFERROR(__xludf.DUMMYFUNCTION("""COMPUTED_VALUE"""),"5310106134")</f>
        <v>5310106134</v>
      </c>
      <c r="F545" s="46" t="str">
        <f>IFERROR(__xludf.DUMMYFUNCTION("""COMPUTED_VALUE"""),"Phố Kiểu, xã Yên Trường, huyện Yên Định, Thanh Hóa")</f>
        <v>Phố Kiểu, xã Yên Trường, huyện Yên Định, Thanh Hóa</v>
      </c>
      <c r="G545" s="46" t="str">
        <f>IFERROR(__xludf.DUMMYFUNCTION("""COMPUTED_VALUE"""),"Máy lỗi cửa Shutter")</f>
        <v>Máy lỗi cửa Shutter</v>
      </c>
      <c r="H545" s="46"/>
      <c r="I545" s="46"/>
      <c r="J545" s="46" t="str">
        <f>IFERROR(__xludf.DUMMYFUNCTION("""COMPUTED_VALUE"""),"Thay thế Shutter mang theo")</f>
        <v>Thay thế Shutter mang theo</v>
      </c>
      <c r="K545" s="46"/>
      <c r="L545" s="46"/>
      <c r="M545" s="46"/>
      <c r="N545" s="46"/>
      <c r="O545" s="46"/>
      <c r="P545" s="46"/>
      <c r="Q545" s="46" t="str">
        <f>IFERROR(__xludf.DUMMYFUNCTION("""COMPUTED_VALUE"""),"Hoàn thành")</f>
        <v>Hoàn thành</v>
      </c>
      <c r="R545" s="46"/>
      <c r="S545" s="46"/>
      <c r="T545" s="46"/>
      <c r="U545" s="46"/>
      <c r="V545" s="46"/>
      <c r="W545" s="46"/>
      <c r="X545" s="46"/>
      <c r="Y545" s="46"/>
      <c r="Z545" s="46"/>
      <c r="AA545" s="46"/>
    </row>
    <row r="546">
      <c r="A546" s="55">
        <f>IFERROR(__xludf.DUMMYFUNCTION("""COMPUTED_VALUE"""),44344.489320520835)</f>
        <v>44344.48932</v>
      </c>
      <c r="B546" s="56">
        <f>IFERROR(__xludf.DUMMYFUNCTION("""COMPUTED_VALUE"""),44341.0)</f>
        <v>44341</v>
      </c>
      <c r="C546" s="59" t="str">
        <f t="shared" si="3"/>
        <v>Báo cáo muộn</v>
      </c>
      <c r="D546" s="46" t="str">
        <f>IFERROR(__xludf.DUMMYFUNCTION("""COMPUTED_VALUE"""),"HaNH")</f>
        <v>HaNH</v>
      </c>
      <c r="E546" s="57" t="str">
        <f>IFERROR(__xludf.DUMMYFUNCTION("""COMPUTED_VALUE"""),"5310180603")</f>
        <v>5310180603</v>
      </c>
      <c r="F546" s="46" t="str">
        <f>IFERROR(__xludf.DUMMYFUNCTION("""COMPUTED_VALUE"""),"Khu 2, TT Lam Sơn, H Thọ Xuân, tỉnh Thanh Hóa")</f>
        <v>Khu 2, TT Lam Sơn, H Thọ Xuân, tỉnh Thanh Hóa</v>
      </c>
      <c r="G546" s="46" t="str">
        <f>IFERROR(__xludf.DUMMYFUNCTION("""COMPUTED_VALUE"""),"Máy hay tuột dây cuaroa EX1")</f>
        <v>Máy hay tuột dây cuaroa EX1</v>
      </c>
      <c r="H546" s="46"/>
      <c r="I546" s="46"/>
      <c r="J546" s="46" t="str">
        <f>IFERROR(__xludf.DUMMYFUNCTION("""COMPUTED_VALUE"""),"Thay thế cặp trục đỡ, cặp dây cuaroa")</f>
        <v>Thay thế cặp trục đỡ, cặp dây cuaroa</v>
      </c>
      <c r="K546" s="46"/>
      <c r="L546" s="46"/>
      <c r="M546" s="46"/>
      <c r="N546" s="46"/>
      <c r="O546" s="46"/>
      <c r="P546" s="46"/>
      <c r="Q546" s="46" t="str">
        <f>IFERROR(__xludf.DUMMYFUNCTION("""COMPUTED_VALUE"""),"Hoàn thành")</f>
        <v>Hoàn thành</v>
      </c>
      <c r="R546" s="46"/>
      <c r="S546" s="46"/>
      <c r="T546" s="46"/>
      <c r="U546" s="46"/>
      <c r="V546" s="46"/>
      <c r="W546" s="46"/>
      <c r="X546" s="46"/>
      <c r="Y546" s="46"/>
      <c r="Z546" s="46"/>
      <c r="AA546" s="46"/>
    </row>
    <row r="547">
      <c r="A547" s="55">
        <f>IFERROR(__xludf.DUMMYFUNCTION("""COMPUTED_VALUE"""),44344.49003409722)</f>
        <v>44344.49003</v>
      </c>
      <c r="B547" s="56">
        <f>IFERROR(__xludf.DUMMYFUNCTION("""COMPUTED_VALUE"""),44342.0)</f>
        <v>44342</v>
      </c>
      <c r="C547" s="59" t="str">
        <f t="shared" si="3"/>
        <v>Báo cáo muộn</v>
      </c>
      <c r="D547" s="46" t="str">
        <f>IFERROR(__xludf.DUMMYFUNCTION("""COMPUTED_VALUE"""),"HaNH")</f>
        <v>HaNH</v>
      </c>
      <c r="E547" s="57" t="str">
        <f>IFERROR(__xludf.DUMMYFUNCTION("""COMPUTED_VALUE"""),"56HG805400")</f>
        <v>56HG805400</v>
      </c>
      <c r="F547" s="46" t="str">
        <f>IFERROR(__xludf.DUMMYFUNCTION("""COMPUTED_VALUE"""),"Trường Sỹ quan tăng thiết giáp, xã Kim Long, huyện Tam Dương, Vĩnh Phúc")</f>
        <v>Trường Sỹ quan tăng thiết giáp, xã Kim Long, huyện Tam Dương, Vĩnh Phúc</v>
      </c>
      <c r="G547" s="46" t="str">
        <f>IFERROR(__xludf.DUMMYFUNCTION("""COMPUTED_VALUE"""),"Bảo trì")</f>
        <v>Bảo trì</v>
      </c>
      <c r="H547" s="46"/>
      <c r="I547" s="46" t="str">
        <f>IFERROR(__xludf.DUMMYFUNCTION("""COMPUTED_VALUE"""),"Bảo trì")</f>
        <v>Bảo trì</v>
      </c>
      <c r="J547" s="46"/>
      <c r="K547" s="46"/>
      <c r="L547" s="46"/>
      <c r="M547" s="46"/>
      <c r="N547" s="46"/>
      <c r="O547" s="46"/>
      <c r="P547" s="46"/>
      <c r="Q547" s="46" t="str">
        <f>IFERROR(__xludf.DUMMYFUNCTION("""COMPUTED_VALUE"""),"Hoàn thành")</f>
        <v>Hoàn thành</v>
      </c>
      <c r="R547" s="46"/>
      <c r="S547" s="46"/>
      <c r="T547" s="46"/>
      <c r="U547" s="46"/>
      <c r="V547" s="46"/>
      <c r="W547" s="46"/>
      <c r="X547" s="46"/>
      <c r="Y547" s="46"/>
      <c r="Z547" s="46"/>
      <c r="AA547" s="46"/>
    </row>
    <row r="548">
      <c r="A548" s="55">
        <f>IFERROR(__xludf.DUMMYFUNCTION("""COMPUTED_VALUE"""),44344.49061854166)</f>
        <v>44344.49062</v>
      </c>
      <c r="B548" s="56">
        <f>IFERROR(__xludf.DUMMYFUNCTION("""COMPUTED_VALUE"""),44342.0)</f>
        <v>44342</v>
      </c>
      <c r="C548" s="59" t="str">
        <f t="shared" si="3"/>
        <v>Báo cáo muộn</v>
      </c>
      <c r="D548" s="46" t="str">
        <f>IFERROR(__xludf.DUMMYFUNCTION("""COMPUTED_VALUE"""),"HaNH")</f>
        <v>HaNH</v>
      </c>
      <c r="E548" s="57" t="str">
        <f>IFERROR(__xludf.DUMMYFUNCTION("""COMPUTED_VALUE"""),"56HG707945")</f>
        <v>56HG707945</v>
      </c>
      <c r="F548" s="46" t="str">
        <f>IFERROR(__xludf.DUMMYFUNCTION("""COMPUTED_VALUE"""),"Phường Xuân Hòa, TX Phúc Yên, Vĩnh Phúc")</f>
        <v>Phường Xuân Hòa, TX Phúc Yên, Vĩnh Phúc</v>
      </c>
      <c r="G548" s="46" t="str">
        <f>IFERROR(__xludf.DUMMYFUNCTION("""COMPUTED_VALUE"""),"Bảo trì")</f>
        <v>Bảo trì</v>
      </c>
      <c r="H548" s="46"/>
      <c r="I548" s="46" t="str">
        <f>IFERROR(__xludf.DUMMYFUNCTION("""COMPUTED_VALUE"""),"Bảo trì")</f>
        <v>Bảo trì</v>
      </c>
      <c r="J548" s="46"/>
      <c r="K548" s="46"/>
      <c r="L548" s="46"/>
      <c r="M548" s="46"/>
      <c r="N548" s="46"/>
      <c r="O548" s="46"/>
      <c r="P548" s="46"/>
      <c r="Q548" s="46" t="str">
        <f>IFERROR(__xludf.DUMMYFUNCTION("""COMPUTED_VALUE"""),"Hoàn thành")</f>
        <v>Hoàn thành</v>
      </c>
      <c r="R548" s="46"/>
      <c r="S548" s="46"/>
      <c r="T548" s="46"/>
      <c r="U548" s="46"/>
      <c r="V548" s="46"/>
      <c r="W548" s="46"/>
      <c r="X548" s="46"/>
      <c r="Y548" s="46"/>
      <c r="Z548" s="46"/>
      <c r="AA548" s="46"/>
    </row>
    <row r="549">
      <c r="A549" s="55">
        <f>IFERROR(__xludf.DUMMYFUNCTION("""COMPUTED_VALUE"""),44344.4913353588)</f>
        <v>44344.49134</v>
      </c>
      <c r="B549" s="56">
        <f>IFERROR(__xludf.DUMMYFUNCTION("""COMPUTED_VALUE"""),44343.0)</f>
        <v>44343</v>
      </c>
      <c r="C549" s="59" t="str">
        <f t="shared" si="3"/>
        <v/>
      </c>
      <c r="D549" s="46" t="str">
        <f>IFERROR(__xludf.DUMMYFUNCTION("""COMPUTED_VALUE"""),"HaNH")</f>
        <v>HaNH</v>
      </c>
      <c r="E549" s="57" t="str">
        <f>IFERROR(__xludf.DUMMYFUNCTION("""COMPUTED_VALUE"""),"56HGL03518")</f>
        <v>56HGL03518</v>
      </c>
      <c r="F549" s="46" t="str">
        <f>IFERROR(__xludf.DUMMYFUNCTION("""COMPUTED_VALUE"""),"Trường Chuyên Nguyễn Văn Huyên, xã Sơn Đồng, Hoài Đức, Hà Nội")</f>
        <v>Trường Chuyên Nguyễn Văn Huyên, xã Sơn Đồng, Hoài Đức, Hà Nội</v>
      </c>
      <c r="G549" s="46" t="str">
        <f>IFERROR(__xludf.DUMMYFUNCTION("""COMPUTED_VALUE"""),"Bảo trì")</f>
        <v>Bảo trì</v>
      </c>
      <c r="H549" s="46"/>
      <c r="I549" s="46" t="str">
        <f>IFERROR(__xludf.DUMMYFUNCTION("""COMPUTED_VALUE"""),"Bảo trì")</f>
        <v>Bảo trì</v>
      </c>
      <c r="J549" s="46"/>
      <c r="K549" s="46"/>
      <c r="L549" s="46"/>
      <c r="M549" s="46"/>
      <c r="N549" s="46"/>
      <c r="O549" s="46"/>
      <c r="P549" s="46"/>
      <c r="Q549" s="46" t="str">
        <f>IFERROR(__xludf.DUMMYFUNCTION("""COMPUTED_VALUE"""),"Hoàn thành")</f>
        <v>Hoàn thành</v>
      </c>
      <c r="R549" s="46"/>
      <c r="S549" s="46"/>
      <c r="T549" s="46"/>
      <c r="U549" s="46"/>
      <c r="V549" s="46"/>
      <c r="W549" s="46"/>
      <c r="X549" s="46"/>
      <c r="Y549" s="46"/>
      <c r="Z549" s="46"/>
      <c r="AA549" s="46"/>
    </row>
    <row r="550">
      <c r="A550" s="55">
        <f>IFERROR(__xludf.DUMMYFUNCTION("""COMPUTED_VALUE"""),44344.50186427083)</f>
        <v>44344.50186</v>
      </c>
      <c r="B550" s="56">
        <f>IFERROR(__xludf.DUMMYFUNCTION("""COMPUTED_VALUE"""),44344.0)</f>
        <v>44344</v>
      </c>
      <c r="C550" s="59" t="str">
        <f t="shared" si="3"/>
        <v/>
      </c>
      <c r="D550" s="46" t="str">
        <f>IFERROR(__xludf.DUMMYFUNCTION("""COMPUTED_VALUE"""),"Thuongd")</f>
        <v>Thuongd</v>
      </c>
      <c r="E550" s="57" t="str">
        <f>IFERROR(__xludf.DUMMYFUNCTION("""COMPUTED_VALUE"""),"5310182376")</f>
        <v>5310182376</v>
      </c>
      <c r="F550" s="46" t="str">
        <f>IFERROR(__xludf.DUMMYFUNCTION("""COMPUTED_VALUE"""),"Xóm Mậu 1, xã Kim Liên, huyện Nam Đàn, tỉnh Nghệ An")</f>
        <v>Xóm Mậu 1, xã Kim Liên, huyện Nam Đàn, tỉnh Nghệ An</v>
      </c>
      <c r="G550" s="46" t="str">
        <f>IFERROR(__xludf.DUMMYFUNCTION("""COMPUTED_VALUE"""),"Lỗi bptt")</f>
        <v>Lỗi bptt</v>
      </c>
      <c r="H550" s="46"/>
      <c r="I550" s="46"/>
      <c r="J550" s="46" t="str">
        <f>IFERROR(__xludf.DUMMYFUNCTION("""COMPUTED_VALUE"""),"Thay trục đỏ")</f>
        <v>Thay trục đỏ</v>
      </c>
      <c r="K550" s="46"/>
      <c r="L550" s="46"/>
      <c r="M550" s="46"/>
      <c r="N550" s="46"/>
      <c r="O550" s="46"/>
      <c r="P550" s="46"/>
      <c r="Q550" s="46" t="str">
        <f>IFERROR(__xludf.DUMMYFUNCTION("""COMPUTED_VALUE"""),"Hoàn thành")</f>
        <v>Hoàn thành</v>
      </c>
      <c r="R550" s="46"/>
      <c r="S550" s="46"/>
      <c r="T550" s="46"/>
      <c r="U550" s="46"/>
      <c r="V550" s="46"/>
      <c r="W550" s="46"/>
      <c r="X550" s="46"/>
      <c r="Y550" s="46"/>
      <c r="Z550" s="46"/>
      <c r="AA550" s="46"/>
    </row>
    <row r="551">
      <c r="A551" s="55">
        <f>IFERROR(__xludf.DUMMYFUNCTION("""COMPUTED_VALUE"""),44345.42969016204)</f>
        <v>44345.42969</v>
      </c>
      <c r="B551" s="56">
        <f>IFERROR(__xludf.DUMMYFUNCTION("""COMPUTED_VALUE"""),44344.0)</f>
        <v>44344</v>
      </c>
      <c r="C551" s="59" t="str">
        <f t="shared" si="3"/>
        <v/>
      </c>
      <c r="D551" s="46" t="str">
        <f>IFERROR(__xludf.DUMMYFUNCTION("""COMPUTED_VALUE"""),"Hieppn")</f>
        <v>Hieppn</v>
      </c>
      <c r="E551" s="57" t="str">
        <f>IFERROR(__xludf.DUMMYFUNCTION("""COMPUTED_VALUE"""),"5310182393")</f>
        <v>5310182393</v>
      </c>
      <c r="F551" s="46" t="str">
        <f>IFERROR(__xludf.DUMMYFUNCTION("""COMPUTED_VALUE"""),"Thị tứ Thanh Quang, xã Thanh Quang, huyện Nam Sách, tỉnh Hải Dương")</f>
        <v>Thị tứ Thanh Quang, xã Thanh Quang, huyện Nam Sách, tỉnh Hải Dương</v>
      </c>
      <c r="G551" s="46" t="str">
        <f>IFERROR(__xludf.DUMMYFUNCTION("""COMPUTED_VALUE"""),"Khắc phục sự cố và bảo trì")</f>
        <v>Khắc phục sự cố và bảo trì</v>
      </c>
      <c r="H551" s="46"/>
      <c r="I551" s="46" t="str">
        <f>IFERROR(__xludf.DUMMYFUNCTION("""COMPUTED_VALUE"""),"Bảo trì")</f>
        <v>Bảo trì</v>
      </c>
      <c r="J551" s="46" t="str">
        <f>IFERROR(__xludf.DUMMYFUNCTION("""COMPUTED_VALUE"""),"Vệ sinh và chỉnh ghép")</f>
        <v>Vệ sinh và chỉnh ghép</v>
      </c>
      <c r="K551" s="46"/>
      <c r="L551" s="46"/>
      <c r="M551" s="46"/>
      <c r="N551" s="46"/>
      <c r="O551" s="46"/>
      <c r="P551" s="46"/>
      <c r="Q551" s="46" t="str">
        <f>IFERROR(__xludf.DUMMYFUNCTION("""COMPUTED_VALUE"""),"Hoàn thành")</f>
        <v>Hoàn thành</v>
      </c>
      <c r="R551" s="46"/>
      <c r="S551" s="46"/>
      <c r="T551" s="46"/>
      <c r="U551" s="46"/>
      <c r="V551" s="46"/>
      <c r="W551" s="46"/>
      <c r="X551" s="46"/>
      <c r="Y551" s="46"/>
      <c r="Z551" s="46"/>
      <c r="AA551" s="46"/>
    </row>
    <row r="552">
      <c r="A552" s="55">
        <f>IFERROR(__xludf.DUMMYFUNCTION("""COMPUTED_VALUE"""),44345.43129775463)</f>
        <v>44345.4313</v>
      </c>
      <c r="B552" s="56">
        <f>IFERROR(__xludf.DUMMYFUNCTION("""COMPUTED_VALUE"""),44344.0)</f>
        <v>44344</v>
      </c>
      <c r="C552" s="59" t="str">
        <f t="shared" si="3"/>
        <v/>
      </c>
      <c r="D552" s="46" t="str">
        <f>IFERROR(__xludf.DUMMYFUNCTION("""COMPUTED_VALUE"""),"Hieppn")</f>
        <v>Hieppn</v>
      </c>
      <c r="E552" s="57" t="str">
        <f>IFERROR(__xludf.DUMMYFUNCTION("""COMPUTED_VALUE"""),"5300380293")</f>
        <v>5300380293</v>
      </c>
      <c r="F552" s="46" t="str">
        <f>IFERROR(__xludf.DUMMYFUNCTION("""COMPUTED_VALUE"""),"Khu 1- TT Thanh Hà -H. Thanh Hà - T. Hải Dương")</f>
        <v>Khu 1- TT Thanh Hà -H. Thanh Hà - T. Hải Dương</v>
      </c>
      <c r="G552" s="46" t="str">
        <f>IFERROR(__xludf.DUMMYFUNCTION("""COMPUTED_VALUE"""),"Không rút đc tiền khay 50 và trùng dây curoa tâng 200,500")</f>
        <v>Không rút đc tiền khay 50 và trùng dây curoa tâng 200,500</v>
      </c>
      <c r="H552" s="46"/>
      <c r="I552" s="46"/>
      <c r="J552" s="46" t="str">
        <f>IFERROR(__xludf.DUMMYFUNCTION("""COMPUTED_VALUE"""),"Vệ sinh và thay thế")</f>
        <v>Vệ sinh và thay thế</v>
      </c>
      <c r="K552" s="46" t="str">
        <f>IFERROR(__xludf.DUMMYFUNCTION("""COMPUTED_VALUE"""),"01 côn điện")</f>
        <v>01 côn điện</v>
      </c>
      <c r="L552" s="46" t="str">
        <f>IFERROR(__xludf.DUMMYFUNCTION("""COMPUTED_VALUE"""),"02 dây curoa extractor")</f>
        <v>02 dây curoa extractor</v>
      </c>
      <c r="M552" s="46"/>
      <c r="N552" s="46"/>
      <c r="O552" s="46"/>
      <c r="P552" s="46"/>
      <c r="Q552" s="46" t="str">
        <f>IFERROR(__xludf.DUMMYFUNCTION("""COMPUTED_VALUE"""),"Hoàn thành")</f>
        <v>Hoàn thành</v>
      </c>
      <c r="R552" s="46"/>
      <c r="S552" s="46"/>
      <c r="T552" s="46"/>
      <c r="U552" s="46"/>
      <c r="V552" s="46"/>
      <c r="W552" s="46"/>
      <c r="X552" s="46"/>
      <c r="Y552" s="46"/>
      <c r="Z552" s="46"/>
      <c r="AA552" s="46"/>
    </row>
    <row r="553">
      <c r="A553" s="55">
        <f>IFERROR(__xludf.DUMMYFUNCTION("""COMPUTED_VALUE"""),44345.656353611106)</f>
        <v>44345.65635</v>
      </c>
      <c r="B553" s="56">
        <f>IFERROR(__xludf.DUMMYFUNCTION("""COMPUTED_VALUE"""),44344.0)</f>
        <v>44344</v>
      </c>
      <c r="C553" s="59" t="str">
        <f t="shared" si="3"/>
        <v/>
      </c>
      <c r="D553" s="46" t="str">
        <f>IFERROR(__xludf.DUMMYFUNCTION("""COMPUTED_VALUE"""),"Thuongd")</f>
        <v>Thuongd</v>
      </c>
      <c r="E553" s="57" t="str">
        <f>IFERROR(__xludf.DUMMYFUNCTION("""COMPUTED_VALUE"""),"5310182921")</f>
        <v>5310182921</v>
      </c>
      <c r="F553" s="46" t="str">
        <f>IFERROR(__xludf.DUMMYFUNCTION("""COMPUTED_VALUE"""),"Khối 7 - TT Hưng Nguyên, huyện Hưng Nguyên, tỉnh Nghệ An")</f>
        <v>Khối 7 - TT Hưng Nguyên, huyện Hưng Nguyên, tỉnh Nghệ An</v>
      </c>
      <c r="G553" s="46" t="str">
        <f>IFERROR(__xludf.DUMMYFUNCTION("""COMPUTED_VALUE"""),"Bảo trì")</f>
        <v>Bảo trì</v>
      </c>
      <c r="H553" s="46"/>
      <c r="I553" s="46"/>
      <c r="J553" s="46" t="str">
        <f>IFERROR(__xludf.DUMMYFUNCTION("""COMPUTED_VALUE"""),"Vệ sinh atm")</f>
        <v>Vệ sinh atm</v>
      </c>
      <c r="K553" s="46"/>
      <c r="L553" s="46"/>
      <c r="M553" s="46"/>
      <c r="N553" s="46"/>
      <c r="O553" s="46"/>
      <c r="P553" s="46"/>
      <c r="Q553" s="46" t="str">
        <f>IFERROR(__xludf.DUMMYFUNCTION("""COMPUTED_VALUE"""),"Hoàn thành")</f>
        <v>Hoàn thành</v>
      </c>
      <c r="R553" s="46"/>
      <c r="S553" s="46"/>
      <c r="T553" s="46"/>
      <c r="U553" s="46"/>
      <c r="V553" s="46"/>
      <c r="W553" s="46"/>
      <c r="X553" s="46"/>
      <c r="Y553" s="46"/>
      <c r="Z553" s="46"/>
      <c r="AA553" s="46"/>
    </row>
    <row r="554">
      <c r="A554" s="55">
        <f>IFERROR(__xludf.DUMMYFUNCTION("""COMPUTED_VALUE"""),44346.38395028935)</f>
        <v>44346.38395</v>
      </c>
      <c r="B554" s="56">
        <f>IFERROR(__xludf.DUMMYFUNCTION("""COMPUTED_VALUE"""),44344.0)</f>
        <v>44344</v>
      </c>
      <c r="C554" s="59" t="str">
        <f t="shared" si="3"/>
        <v>Báo cáo muộn</v>
      </c>
      <c r="D554" s="46" t="str">
        <f>IFERROR(__xludf.DUMMYFUNCTION("""COMPUTED_VALUE"""),"Hoathv")</f>
        <v>Hoathv</v>
      </c>
      <c r="E554" s="57" t="str">
        <f>IFERROR(__xludf.DUMMYFUNCTION("""COMPUTED_VALUE"""),"5310171516")</f>
        <v>5310171516</v>
      </c>
      <c r="F554" s="46" t="str">
        <f>IFERROR(__xludf.DUMMYFUNCTION("""COMPUTED_VALUE"""),"")</f>
        <v/>
      </c>
      <c r="G554" s="46" t="str">
        <f>IFERROR(__xludf.DUMMYFUNCTION("""COMPUTED_VALUE"""),"Bảo trì")</f>
        <v>Bảo trì</v>
      </c>
      <c r="H554" s="46"/>
      <c r="I554" s="46" t="str">
        <f>IFERROR(__xludf.DUMMYFUNCTION("""COMPUTED_VALUE"""),"Bảo trì")</f>
        <v>Bảo trì</v>
      </c>
      <c r="J554" s="46"/>
      <c r="K554" s="46"/>
      <c r="L554" s="46"/>
      <c r="M554" s="46"/>
      <c r="N554" s="46"/>
      <c r="O554" s="46"/>
      <c r="P554" s="46"/>
      <c r="Q554" s="46" t="str">
        <f>IFERROR(__xludf.DUMMYFUNCTION("""COMPUTED_VALUE"""),"Hoàn thành")</f>
        <v>Hoàn thành</v>
      </c>
      <c r="R554" s="46"/>
      <c r="S554" s="46"/>
      <c r="T554" s="46"/>
      <c r="U554" s="46"/>
      <c r="V554" s="46"/>
      <c r="W554" s="46"/>
      <c r="X554" s="46"/>
      <c r="Y554" s="46"/>
      <c r="Z554" s="46"/>
      <c r="AA554" s="46"/>
    </row>
    <row r="555">
      <c r="A555" s="55">
        <f>IFERROR(__xludf.DUMMYFUNCTION("""COMPUTED_VALUE"""),44346.38452221065)</f>
        <v>44346.38452</v>
      </c>
      <c r="B555" s="56">
        <f>IFERROR(__xludf.DUMMYFUNCTION("""COMPUTED_VALUE"""),44344.0)</f>
        <v>44344</v>
      </c>
      <c r="C555" s="59" t="str">
        <f t="shared" si="3"/>
        <v>Báo cáo muộn</v>
      </c>
      <c r="D555" s="46" t="str">
        <f>IFERROR(__xludf.DUMMYFUNCTION("""COMPUTED_VALUE"""),"Hoathv")</f>
        <v>Hoathv</v>
      </c>
      <c r="E555" s="57" t="str">
        <f>IFERROR(__xludf.DUMMYFUNCTION("""COMPUTED_VALUE"""),"5310180878")</f>
        <v>5310180878</v>
      </c>
      <c r="F555" s="46" t="str">
        <f>IFERROR(__xludf.DUMMYFUNCTION("""COMPUTED_VALUE"""),"Khu 8, thị trấn Hàng Trạm, huyện Yên Thủy, tỉnh Hòa Bình.")</f>
        <v>Khu 8, thị trấn Hàng Trạm, huyện Yên Thủy, tỉnh Hòa Bình.</v>
      </c>
      <c r="G555" s="46" t="str">
        <f>IFERROR(__xludf.DUMMYFUNCTION("""COMPUTED_VALUE"""),"Bảo trì")</f>
        <v>Bảo trì</v>
      </c>
      <c r="H555" s="46"/>
      <c r="I555" s="46" t="str">
        <f>IFERROR(__xludf.DUMMYFUNCTION("""COMPUTED_VALUE"""),"Bảo trì")</f>
        <v>Bảo trì</v>
      </c>
      <c r="J555" s="46"/>
      <c r="K555" s="46"/>
      <c r="L555" s="46"/>
      <c r="M555" s="46"/>
      <c r="N555" s="46"/>
      <c r="O555" s="46"/>
      <c r="P555" s="46"/>
      <c r="Q555" s="46" t="str">
        <f>IFERROR(__xludf.DUMMYFUNCTION("""COMPUTED_VALUE"""),"Hoàn thành")</f>
        <v>Hoàn thành</v>
      </c>
      <c r="R555" s="46"/>
      <c r="S555" s="46"/>
      <c r="T555" s="46"/>
      <c r="U555" s="46"/>
      <c r="V555" s="46"/>
      <c r="W555" s="46"/>
      <c r="X555" s="46"/>
      <c r="Y555" s="46"/>
      <c r="Z555" s="46"/>
      <c r="AA555" s="46"/>
    </row>
    <row r="556">
      <c r="A556" s="55">
        <f>IFERROR(__xludf.DUMMYFUNCTION("""COMPUTED_VALUE"""),44347.49412394676)</f>
        <v>44347.49412</v>
      </c>
      <c r="B556" s="56">
        <f>IFERROR(__xludf.DUMMYFUNCTION("""COMPUTED_VALUE"""),44347.0)</f>
        <v>44347</v>
      </c>
      <c r="C556" s="59" t="str">
        <f t="shared" si="3"/>
        <v/>
      </c>
      <c r="D556" s="46" t="str">
        <f>IFERROR(__xludf.DUMMYFUNCTION("""COMPUTED_VALUE"""),"Tuanva")</f>
        <v>Tuanva</v>
      </c>
      <c r="E556" s="57" t="str">
        <f>IFERROR(__xludf.DUMMYFUNCTION("""COMPUTED_VALUE"""),"56HGL03516")</f>
        <v>56HGL03516</v>
      </c>
      <c r="F556" s="46" t="str">
        <f>IFERROR(__xludf.DUMMYFUNCTION("""COMPUTED_VALUE"""),"Nhà máy Z125, Khu 2, Phú Minh, Sóc Sơn, Hà Nội")</f>
        <v>Nhà máy Z125, Khu 2, Phú Minh, Sóc Sơn, Hà Nội</v>
      </c>
      <c r="G556" s="46" t="str">
        <f>IFERROR(__xludf.DUMMYFUNCTION("""COMPUTED_VALUE"""),"Lỗi khay 200k")</f>
        <v>Lỗi khay 200k</v>
      </c>
      <c r="H556" s="46"/>
      <c r="I556" s="46" t="str">
        <f>IFERROR(__xludf.DUMMYFUNCTION("""COMPUTED_VALUE"""),"Bảo trì")</f>
        <v>Bảo trì</v>
      </c>
      <c r="J556" s="46" t="str">
        <f>IFERROR(__xludf.DUMMYFUNCTION("""COMPUTED_VALUE"""),"Vệ sinh pick miết tiền")</f>
        <v>Vệ sinh pick miết tiền</v>
      </c>
      <c r="K556" s="46"/>
      <c r="L556" s="46"/>
      <c r="M556" s="46"/>
      <c r="N556" s="46"/>
      <c r="O556" s="46"/>
      <c r="P556" s="46"/>
      <c r="Q556" s="46" t="str">
        <f>IFERROR(__xludf.DUMMYFUNCTION("""COMPUTED_VALUE"""),"Hoàn thành")</f>
        <v>Hoàn thành</v>
      </c>
      <c r="R556" s="46"/>
      <c r="S556" s="46"/>
      <c r="T556" s="46"/>
      <c r="U556" s="46"/>
      <c r="V556" s="46"/>
      <c r="W556" s="46"/>
      <c r="X556" s="46"/>
      <c r="Y556" s="46"/>
      <c r="Z556" s="46"/>
      <c r="AA556" s="46"/>
    </row>
    <row r="557">
      <c r="A557" s="55">
        <f>IFERROR(__xludf.DUMMYFUNCTION("""COMPUTED_VALUE"""),44347.51815365741)</f>
        <v>44347.51815</v>
      </c>
      <c r="B557" s="56">
        <f>IFERROR(__xludf.DUMMYFUNCTION("""COMPUTED_VALUE"""),44347.0)</f>
        <v>44347</v>
      </c>
      <c r="C557" s="59" t="str">
        <f t="shared" si="3"/>
        <v/>
      </c>
      <c r="D557" s="46" t="str">
        <f>IFERROR(__xludf.DUMMYFUNCTION("""COMPUTED_VALUE"""),"Hieppn")</f>
        <v>Hieppn</v>
      </c>
      <c r="E557" s="57" t="str">
        <f>IFERROR(__xludf.DUMMYFUNCTION("""COMPUTED_VALUE"""),"5300378203")</f>
        <v>5300378203</v>
      </c>
      <c r="F557" s="46" t="str">
        <f>IFERROR(__xludf.DUMMYFUNCTION("""COMPUTED_VALUE"""),"PGD Pháp Vân-tầng 1, nơ 7, KĐT Pháp Vân, Tứ Hiệp")</f>
        <v>PGD Pháp Vân-tầng 1, nơ 7, KĐT Pháp Vân, Tứ Hiệp</v>
      </c>
      <c r="G557" s="46" t="str">
        <f>IFERROR(__xludf.DUMMYFUNCTION("""COMPUTED_VALUE"""),"Khay 100 rút được thời gian lại ngừng, dây curoa tầng 200,500 trùng")</f>
        <v>Khay 100 rút được thời gian lại ngừng, dây curoa tầng 200,500 trùng</v>
      </c>
      <c r="H557" s="46"/>
      <c r="I557" s="46"/>
      <c r="J557" s="46" t="str">
        <f>IFERROR(__xludf.DUMMYFUNCTION("""COMPUTED_VALUE"""),"Vệ sinh và thay thế")</f>
        <v>Vệ sinh và thay thế</v>
      </c>
      <c r="K557" s="46" t="str">
        <f>IFERROR(__xludf.DUMMYFUNCTION("""COMPUTED_VALUE"""),"01 trục cuốn ")</f>
        <v>01 trục cuốn </v>
      </c>
      <c r="L557" s="46" t="str">
        <f>IFERROR(__xludf.DUMMYFUNCTION("""COMPUTED_VALUE"""),"01 trục đỡ ")</f>
        <v>01 trục đỡ </v>
      </c>
      <c r="M557" s="46" t="str">
        <f>IFERROR(__xludf.DUMMYFUNCTION("""COMPUTED_VALUE"""),"02 dây curoa")</f>
        <v>02 dây curoa</v>
      </c>
      <c r="N557" s="46" t="str">
        <f>IFERROR(__xludf.DUMMYFUNCTION("""COMPUTED_VALUE"""),"01 trục miết tiền mệnh giá khay 100")</f>
        <v>01 trục miết tiền mệnh giá khay 100</v>
      </c>
      <c r="O557" s="46"/>
      <c r="P557" s="46"/>
      <c r="Q557" s="46" t="str">
        <f>IFERROR(__xludf.DUMMYFUNCTION("""COMPUTED_VALUE"""),"Hoàn thành")</f>
        <v>Hoàn thành</v>
      </c>
      <c r="R557" s="46"/>
      <c r="S557" s="46"/>
      <c r="T557" s="46"/>
      <c r="U557" s="46"/>
      <c r="V557" s="46"/>
      <c r="W557" s="46"/>
      <c r="X557" s="46"/>
      <c r="Y557" s="46"/>
      <c r="Z557" s="46"/>
      <c r="AA557" s="46"/>
    </row>
    <row r="558">
      <c r="A558" s="55">
        <f>IFERROR(__xludf.DUMMYFUNCTION("""COMPUTED_VALUE"""),44347.608330613424)</f>
        <v>44347.60833</v>
      </c>
      <c r="B558" s="56">
        <f>IFERROR(__xludf.DUMMYFUNCTION("""COMPUTED_VALUE"""),44347.0)</f>
        <v>44347</v>
      </c>
      <c r="C558" s="59" t="str">
        <f t="shared" si="3"/>
        <v/>
      </c>
      <c r="D558" s="46" t="str">
        <f>IFERROR(__xludf.DUMMYFUNCTION("""COMPUTED_VALUE"""),"Hieppn")</f>
        <v>Hieppn</v>
      </c>
      <c r="E558" s="57" t="str">
        <f>IFERROR(__xludf.DUMMYFUNCTION("""COMPUTED_VALUE"""),"5310180574")</f>
        <v>5310180574</v>
      </c>
      <c r="F558" s="46" t="str">
        <f>IFERROR(__xludf.DUMMYFUNCTION("""COMPUTED_VALUE"""),"Ki ốt số 4, 6, 6B CT12 Kim Văn, Kim Lũ, Đại Kim, Hoàng Mai HN")</f>
        <v>Ki ốt số 4, 6, 6B CT12 Kim Văn, Kim Lũ, Đại Kim, Hoàng Mai HN</v>
      </c>
      <c r="G558" s="46" t="str">
        <f>IFERROR(__xludf.DUMMYFUNCTION("""COMPUTED_VALUE"""),"Không rút đc tiền ")</f>
        <v>Không rút đc tiền </v>
      </c>
      <c r="H558" s="46"/>
      <c r="I558" s="46"/>
      <c r="J558" s="46" t="str">
        <f>IFERROR(__xludf.DUMMYFUNCTION("""COMPUTED_VALUE"""),"Kẹt tiền tại extractor và presentor , vệ sinh trục đỏ ")</f>
        <v>Kẹt tiền tại extractor và presentor , vệ sinh trục đỏ </v>
      </c>
      <c r="K558" s="46"/>
      <c r="L558" s="46"/>
      <c r="M558" s="46"/>
      <c r="N558" s="46"/>
      <c r="O558" s="46"/>
      <c r="P558" s="46"/>
      <c r="Q558" s="46" t="str">
        <f>IFERROR(__xludf.DUMMYFUNCTION("""COMPUTED_VALUE"""),"Hoàn thành")</f>
        <v>Hoàn thành</v>
      </c>
      <c r="R558" s="46"/>
      <c r="S558" s="46"/>
      <c r="T558" s="46"/>
      <c r="U558" s="46"/>
      <c r="V558" s="46"/>
      <c r="W558" s="46"/>
      <c r="X558" s="46"/>
      <c r="Y558" s="46"/>
      <c r="Z558" s="46"/>
      <c r="AA558" s="46"/>
    </row>
    <row r="559">
      <c r="A559" s="55">
        <f>IFERROR(__xludf.DUMMYFUNCTION("""COMPUTED_VALUE"""),44347.630139409725)</f>
        <v>44347.63014</v>
      </c>
      <c r="B559" s="56">
        <f>IFERROR(__xludf.DUMMYFUNCTION("""COMPUTED_VALUE"""),44347.0)</f>
        <v>44347</v>
      </c>
      <c r="C559" s="59" t="str">
        <f t="shared" si="3"/>
        <v/>
      </c>
      <c r="D559" s="46" t="str">
        <f>IFERROR(__xludf.DUMMYFUNCTION("""COMPUTED_VALUE"""),"Tuanva")</f>
        <v>Tuanva</v>
      </c>
      <c r="E559" s="57" t="str">
        <f>IFERROR(__xludf.DUMMYFUNCTION("""COMPUTED_VALUE"""),"5310105909")</f>
        <v>5310105909</v>
      </c>
      <c r="F559" s="46" t="str">
        <f>IFERROR(__xludf.DUMMYFUNCTION("""COMPUTED_VALUE"""),"Trụ sở Agribank CN huyện Yên Mỹ, thôn Thư Thị, xã Tân Lập, Huyện Yên Mỹ")</f>
        <v>Trụ sở Agribank CN huyện Yên Mỹ, thôn Thư Thị, xã Tân Lập, Huyện Yên Mỹ</v>
      </c>
      <c r="G559" s="46" t="str">
        <f>IFERROR(__xludf.DUMMYFUNCTION("""COMPUTED_VALUE"""),"Máy báo lỗi 1.8")</f>
        <v>Máy báo lỗi 1.8</v>
      </c>
      <c r="H559" s="46"/>
      <c r="I559" s="46"/>
      <c r="J559" s="46" t="str">
        <f>IFERROR(__xludf.DUMMYFUNCTION("""COMPUTED_VALUE"""),"Đứt cáp main đứng kết nối main ngang.kp hiện máy đang ko chạy dc khay 50k.")</f>
        <v>Đứt cáp main đứng kết nối main ngang.kp hiện máy đang ko chạy dc khay 50k.</v>
      </c>
      <c r="K559" s="46"/>
      <c r="L559" s="46"/>
      <c r="M559" s="46"/>
      <c r="N559" s="46"/>
      <c r="O559" s="46"/>
      <c r="P559" s="46"/>
      <c r="Q559" s="46" t="str">
        <f>IFERROR(__xludf.DUMMYFUNCTION("""COMPUTED_VALUE"""),"Hoàn thành")</f>
        <v>Hoàn thành</v>
      </c>
      <c r="R559" s="46" t="str">
        <f>IFERROR(__xludf.DUMMYFUNCTION("""COMPUTED_VALUE"""),"Hẹn từ giờ đến cuối tuần thay cáp hoặc main đứng khác")</f>
        <v>Hẹn từ giờ đến cuối tuần thay cáp hoặc main đứng khác</v>
      </c>
      <c r="S559" s="46"/>
      <c r="T559" s="46"/>
      <c r="U559" s="46"/>
      <c r="V559" s="46"/>
      <c r="W559" s="46"/>
      <c r="X559" s="46"/>
      <c r="Y559" s="46"/>
      <c r="Z559" s="46"/>
      <c r="AA559" s="46"/>
    </row>
    <row r="560">
      <c r="A560" s="55">
        <f>IFERROR(__xludf.DUMMYFUNCTION("""COMPUTED_VALUE"""),44347.65536668981)</f>
        <v>44347.65537</v>
      </c>
      <c r="B560" s="56">
        <f>IFERROR(__xludf.DUMMYFUNCTION("""COMPUTED_VALUE"""),44347.0)</f>
        <v>44347</v>
      </c>
      <c r="C560" s="59" t="str">
        <f t="shared" si="3"/>
        <v/>
      </c>
      <c r="D560" s="46" t="str">
        <f>IFERROR(__xludf.DUMMYFUNCTION("""COMPUTED_VALUE"""),"Bannt")</f>
        <v>Bannt</v>
      </c>
      <c r="E560" s="57" t="str">
        <f>IFERROR(__xludf.DUMMYFUNCTION("""COMPUTED_VALUE"""),"5300380340")</f>
        <v>5300380340</v>
      </c>
      <c r="F560" s="46" t="str">
        <f>IFERROR(__xludf.DUMMYFUNCTION("""COMPUTED_VALUE"""),"Thị trấn Đoan Hùng - Phú Thọ")</f>
        <v>Thị trấn Đoan Hùng - Phú Thọ</v>
      </c>
      <c r="G560" s="46" t="str">
        <f>IFERROR(__xludf.DUMMYFUNCTION("""COMPUTED_VALUE"""),"Lỗi đầu đọc thẻ")</f>
        <v>Lỗi đầu đọc thẻ</v>
      </c>
      <c r="H560" s="46"/>
      <c r="I560" s="46"/>
      <c r="J560" s="46" t="str">
        <f>IFERROR(__xludf.DUMMYFUNCTION("""COMPUTED_VALUE"""),"Thay thế 01 đầu đọc thẻ")</f>
        <v>Thay thế 01 đầu đọc thẻ</v>
      </c>
      <c r="K560" s="46" t="str">
        <f>IFERROR(__xludf.DUMMYFUNCTION("""COMPUTED_VALUE"""),"01 đầu đọc thẻ")</f>
        <v>01 đầu đọc thẻ</v>
      </c>
      <c r="L560" s="46"/>
      <c r="M560" s="46"/>
      <c r="N560" s="46"/>
      <c r="O560" s="46"/>
      <c r="P560" s="46"/>
      <c r="Q560" s="46" t="str">
        <f>IFERROR(__xludf.DUMMYFUNCTION("""COMPUTED_VALUE"""),"Hoàn thành")</f>
        <v>Hoàn thành</v>
      </c>
      <c r="R560" s="46"/>
      <c r="S560" s="46"/>
      <c r="T560" s="46"/>
      <c r="U560" s="46"/>
      <c r="V560" s="46"/>
      <c r="W560" s="46"/>
      <c r="X560" s="46"/>
      <c r="Y560" s="46"/>
      <c r="Z560" s="46"/>
      <c r="AA560" s="46"/>
    </row>
    <row r="561">
      <c r="A561" s="55">
        <f>IFERROR(__xludf.DUMMYFUNCTION("""COMPUTED_VALUE"""),44348.300749375005)</f>
        <v>44348.30075</v>
      </c>
      <c r="B561" s="56">
        <f>IFERROR(__xludf.DUMMYFUNCTION("""COMPUTED_VALUE"""),44347.0)</f>
        <v>44347</v>
      </c>
      <c r="C561" s="59" t="str">
        <f t="shared" si="3"/>
        <v/>
      </c>
      <c r="D561" s="46" t="str">
        <f>IFERROR(__xludf.DUMMYFUNCTION("""COMPUTED_VALUE"""),"Hoathv")</f>
        <v>Hoathv</v>
      </c>
      <c r="E561" s="57" t="str">
        <f>IFERROR(__xludf.DUMMYFUNCTION("""COMPUTED_VALUE"""),"5310105311")</f>
        <v>5310105311</v>
      </c>
      <c r="F561" s="46" t="str">
        <f>IFERROR(__xludf.DUMMYFUNCTION("""COMPUTED_VALUE"""),"Thôn Hồng Thượng, xã Nam Hồng, huyện Nam Trực")</f>
        <v>Thôn Hồng Thượng, xã Nam Hồng, huyện Nam Trực</v>
      </c>
      <c r="G561" s="46" t="str">
        <f>IFERROR(__xludf.DUMMYFUNCTION("""COMPUTED_VALUE"""),"Lỗi bộ trả tiền, bảo trì")</f>
        <v>Lỗi bộ trả tiền, bảo trì</v>
      </c>
      <c r="H561" s="46"/>
      <c r="I561" s="46" t="str">
        <f>IFERROR(__xludf.DUMMYFUNCTION("""COMPUTED_VALUE"""),"Bảo trì")</f>
        <v>Bảo trì</v>
      </c>
      <c r="J561" s="46" t="str">
        <f>IFERROR(__xludf.DUMMYFUNCTION("""COMPUTED_VALUE"""),"Bảo trì")</f>
        <v>Bảo trì</v>
      </c>
      <c r="K561" s="46"/>
      <c r="L561" s="46"/>
      <c r="M561" s="46"/>
      <c r="N561" s="46"/>
      <c r="O561" s="46"/>
      <c r="P561" s="46"/>
      <c r="Q561" s="46" t="str">
        <f>IFERROR(__xludf.DUMMYFUNCTION("""COMPUTED_VALUE"""),"Hoàn thành")</f>
        <v>Hoàn thành</v>
      </c>
      <c r="R561" s="46"/>
      <c r="S561" s="46"/>
      <c r="T561" s="46"/>
      <c r="U561" s="46"/>
      <c r="V561" s="46"/>
      <c r="W561" s="46"/>
      <c r="X561" s="46"/>
      <c r="Y561" s="46"/>
      <c r="Z561" s="46"/>
      <c r="AA561" s="46"/>
    </row>
    <row r="562">
      <c r="A562" s="55">
        <f>IFERROR(__xludf.DUMMYFUNCTION("""COMPUTED_VALUE"""),44348.30186265046)</f>
        <v>44348.30186</v>
      </c>
      <c r="B562" s="56">
        <f>IFERROR(__xludf.DUMMYFUNCTION("""COMPUTED_VALUE"""),44347.0)</f>
        <v>44347</v>
      </c>
      <c r="C562" s="59" t="str">
        <f t="shared" si="3"/>
        <v/>
      </c>
      <c r="D562" s="46" t="str">
        <f>IFERROR(__xludf.DUMMYFUNCTION("""COMPUTED_VALUE"""),"Hoathv")</f>
        <v>Hoathv</v>
      </c>
      <c r="E562" s="57" t="str">
        <f>IFERROR(__xludf.DUMMYFUNCTION("""COMPUTED_VALUE"""),"5300381493")</f>
        <v>5300381493</v>
      </c>
      <c r="F562" s="46" t="str">
        <f>IFERROR(__xludf.DUMMYFUNCTION("""COMPUTED_VALUE"""),"Thị trấn Cổ Lễ, huyện Trực Ninh, Nam Định")</f>
        <v>Thị trấn Cổ Lễ, huyện Trực Ninh, Nam Định</v>
      </c>
      <c r="G562" s="46" t="str">
        <f>IFERROR(__xludf.DUMMYFUNCTION("""COMPUTED_VALUE"""),"Lỗi bộ trả tiền")</f>
        <v>Lỗi bộ trả tiền</v>
      </c>
      <c r="H562" s="46"/>
      <c r="I562" s="46"/>
      <c r="J562" s="46"/>
      <c r="K562" s="46"/>
      <c r="L562" s="46"/>
      <c r="M562" s="46"/>
      <c r="N562" s="46"/>
      <c r="O562" s="46"/>
      <c r="P562" s="46"/>
      <c r="Q562" s="46" t="str">
        <f>IFERROR(__xludf.DUMMYFUNCTION("""COMPUTED_VALUE"""),"Hoàn thành")</f>
        <v>Hoàn thành</v>
      </c>
      <c r="R562" s="46" t="str">
        <f>IFERROR(__xludf.DUMMYFUNCTION("""COMPUTED_VALUE"""),"Lỗi phát sinh không có đồ xử lý")</f>
        <v>Lỗi phát sinh không có đồ xử lý</v>
      </c>
      <c r="S562" s="46"/>
      <c r="T562" s="46"/>
      <c r="U562" s="46"/>
      <c r="V562" s="46"/>
      <c r="W562" s="46"/>
      <c r="X562" s="46"/>
      <c r="Y562" s="46"/>
      <c r="Z562" s="46"/>
      <c r="AA562" s="46"/>
    </row>
    <row r="563">
      <c r="A563" s="55">
        <f>IFERROR(__xludf.DUMMYFUNCTION("""COMPUTED_VALUE"""),44348.433051307875)</f>
        <v>44348.43305</v>
      </c>
      <c r="B563" s="56">
        <f>IFERROR(__xludf.DUMMYFUNCTION("""COMPUTED_VALUE"""),44347.0)</f>
        <v>44347</v>
      </c>
      <c r="C563" s="59" t="str">
        <f t="shared" si="3"/>
        <v/>
      </c>
      <c r="D563" s="46" t="str">
        <f>IFERROR(__xludf.DUMMYFUNCTION("""COMPUTED_VALUE"""),"HaNH")</f>
        <v>HaNH</v>
      </c>
      <c r="E563" s="57" t="str">
        <f>IFERROR(__xludf.DUMMYFUNCTION("""COMPUTED_VALUE"""),"56HG707968")</f>
        <v>56HG707968</v>
      </c>
      <c r="F563" s="46" t="str">
        <f>IFERROR(__xludf.DUMMYFUNCTION("""COMPUTED_VALUE"""),"Nhà máy Z179 - Thanh Trì, Hà Nội")</f>
        <v>Nhà máy Z179 - Thanh Trì, Hà Nội</v>
      </c>
      <c r="G563" s="46" t="str">
        <f>IFERROR(__xludf.DUMMYFUNCTION("""COMPUTED_VALUE"""),"Lỗi BPTT")</f>
        <v>Lỗi BPTT</v>
      </c>
      <c r="H563" s="46"/>
      <c r="I563" s="46"/>
      <c r="J563" s="46" t="str">
        <f>IFERROR(__xludf.DUMMYFUNCTION("""COMPUTED_VALUE"""),"Thay bo ngang")</f>
        <v>Thay bo ngang</v>
      </c>
      <c r="K563" s="46"/>
      <c r="L563" s="46"/>
      <c r="M563" s="46"/>
      <c r="N563" s="46"/>
      <c r="O563" s="46"/>
      <c r="P563" s="46"/>
      <c r="Q563" s="46" t="str">
        <f>IFERROR(__xludf.DUMMYFUNCTION("""COMPUTED_VALUE"""),"Hoàn thành")</f>
        <v>Hoàn thành</v>
      </c>
      <c r="R563" s="46"/>
      <c r="S563" s="46"/>
      <c r="T563" s="46"/>
      <c r="U563" s="46"/>
      <c r="V563" s="46"/>
      <c r="W563" s="46"/>
      <c r="X563" s="46"/>
      <c r="Y563" s="46"/>
      <c r="Z563" s="46"/>
      <c r="AA563" s="46"/>
    </row>
    <row r="564">
      <c r="A564" s="55">
        <f>IFERROR(__xludf.DUMMYFUNCTION("""COMPUTED_VALUE"""),44348.44242760417)</f>
        <v>44348.44243</v>
      </c>
      <c r="B564" s="56">
        <f>IFERROR(__xludf.DUMMYFUNCTION("""COMPUTED_VALUE"""),44348.0)</f>
        <v>44348</v>
      </c>
      <c r="C564" s="59" t="str">
        <f t="shared" si="3"/>
        <v/>
      </c>
      <c r="D564" s="46" t="str">
        <f>IFERROR(__xludf.DUMMYFUNCTION("""COMPUTED_VALUE"""),"Thangnx")</f>
        <v>Thangnx</v>
      </c>
      <c r="E564" s="57" t="str">
        <f>IFERROR(__xludf.DUMMYFUNCTION("""COMPUTED_VALUE"""),"5300380885")</f>
        <v>5300380885</v>
      </c>
      <c r="F564" s="46" t="str">
        <f>IFERROR(__xludf.DUMMYFUNCTION("""COMPUTED_VALUE"""),"154A Tôn Đức Thắng, Q.Đống Đa, Hà Nội")</f>
        <v>154A Tôn Đức Thắng, Q.Đống Đa, Hà Nội</v>
      </c>
      <c r="G564" s="46" t="str">
        <f>IFERROR(__xludf.DUMMYFUNCTION("""COMPUTED_VALUE"""),"Bảo trì")</f>
        <v>Bảo trì</v>
      </c>
      <c r="H564" s="46"/>
      <c r="I564" s="46" t="str">
        <f>IFERROR(__xludf.DUMMYFUNCTION("""COMPUTED_VALUE"""),"Bảo trì")</f>
        <v>Bảo trì</v>
      </c>
      <c r="J564" s="46"/>
      <c r="K564" s="46"/>
      <c r="L564" s="46"/>
      <c r="M564" s="46"/>
      <c r="N564" s="46"/>
      <c r="O564" s="46"/>
      <c r="P564" s="46" t="str">
        <f>IFERROR(__xludf.DUMMYFUNCTION("""COMPUTED_VALUE"""),"Máy này các trục ghép đã mòn. Pick tầng 50 và 500 mong")</f>
        <v>Máy này các trục ghép đã mòn. Pick tầng 50 và 500 mong</v>
      </c>
      <c r="Q564" s="46" t="str">
        <f>IFERROR(__xludf.DUMMYFUNCTION("""COMPUTED_VALUE"""),"Hoàn thành")</f>
        <v>Hoàn thành</v>
      </c>
      <c r="R564" s="46"/>
      <c r="S564" s="46"/>
      <c r="T564" s="46"/>
      <c r="U564" s="46"/>
      <c r="V564" s="46"/>
      <c r="W564" s="46"/>
      <c r="X564" s="46"/>
      <c r="Y564" s="46"/>
      <c r="Z564" s="46"/>
      <c r="AA564" s="46"/>
    </row>
    <row r="565">
      <c r="A565" s="55">
        <f>IFERROR(__xludf.DUMMYFUNCTION("""COMPUTED_VALUE"""),44348.44768003472)</f>
        <v>44348.44768</v>
      </c>
      <c r="B565" s="56">
        <f>IFERROR(__xludf.DUMMYFUNCTION("""COMPUTED_VALUE"""),44348.0)</f>
        <v>44348</v>
      </c>
      <c r="C565" s="59" t="str">
        <f t="shared" si="3"/>
        <v/>
      </c>
      <c r="D565" s="46" t="str">
        <f>IFERROR(__xludf.DUMMYFUNCTION("""COMPUTED_VALUE"""),"Duclb")</f>
        <v>Duclb</v>
      </c>
      <c r="E565" s="57" t="str">
        <f>IFERROR(__xludf.DUMMYFUNCTION("""COMPUTED_VALUE"""),"5310107122")</f>
        <v>5310107122</v>
      </c>
      <c r="F565" s="46" t="str">
        <f>IFERROR(__xludf.DUMMYFUNCTION("""COMPUTED_VALUE"""),"Thôn Hòa Lạc, xã Bình Yên, huyện Thạch Thất")</f>
        <v>Thôn Hòa Lạc, xã Bình Yên, huyện Thạch Thất</v>
      </c>
      <c r="G565" s="46" t="str">
        <f>IFERROR(__xludf.DUMMYFUNCTION("""COMPUTED_VALUE"""),"Yc bảo trì")</f>
        <v>Yc bảo trì</v>
      </c>
      <c r="H565" s="46"/>
      <c r="I565" s="46" t="str">
        <f>IFERROR(__xludf.DUMMYFUNCTION("""COMPUTED_VALUE"""),"Bảo trì")</f>
        <v>Bảo trì</v>
      </c>
      <c r="J565" s="46"/>
      <c r="K565" s="46"/>
      <c r="L565" s="46"/>
      <c r="M565" s="46"/>
      <c r="N565" s="46"/>
      <c r="O565" s="46"/>
      <c r="P565" s="46"/>
      <c r="Q565" s="46" t="str">
        <f>IFERROR(__xludf.DUMMYFUNCTION("""COMPUTED_VALUE"""),"Hoàn thành")</f>
        <v>Hoàn thành</v>
      </c>
      <c r="R565" s="46"/>
      <c r="S565" s="46"/>
      <c r="T565" s="46"/>
      <c r="U565" s="46"/>
      <c r="V565" s="46"/>
      <c r="W565" s="46"/>
      <c r="X565" s="46"/>
      <c r="Y565" s="46"/>
      <c r="Z565" s="46"/>
      <c r="AA565" s="46"/>
    </row>
    <row r="566">
      <c r="A566" s="55">
        <f>IFERROR(__xludf.DUMMYFUNCTION("""COMPUTED_VALUE"""),44348.45192194445)</f>
        <v>44348.45192</v>
      </c>
      <c r="B566" s="56">
        <f>IFERROR(__xludf.DUMMYFUNCTION("""COMPUTED_VALUE"""),44348.0)</f>
        <v>44348</v>
      </c>
      <c r="C566" s="59" t="str">
        <f t="shared" si="3"/>
        <v/>
      </c>
      <c r="D566" s="46" t="str">
        <f>IFERROR(__xludf.DUMMYFUNCTION("""COMPUTED_VALUE"""),"Hieppn")</f>
        <v>Hieppn</v>
      </c>
      <c r="E566" s="57" t="str">
        <f>IFERROR(__xludf.DUMMYFUNCTION("""COMPUTED_VALUE"""),"5300381493")</f>
        <v>5300381493</v>
      </c>
      <c r="F566" s="46" t="str">
        <f>IFERROR(__xludf.DUMMYFUNCTION("""COMPUTED_VALUE"""),"Thị trấn Cổ Lễ, huyện Trực Ninh, Nam Định")</f>
        <v>Thị trấn Cổ Lễ, huyện Trực Ninh, Nam Định</v>
      </c>
      <c r="G566" s="46" t="str">
        <f>IFERROR(__xludf.DUMMYFUNCTION("""COMPUTED_VALUE"""),"Lỗi không trả được tiền")</f>
        <v>Lỗi không trả được tiền</v>
      </c>
      <c r="H566" s="46"/>
      <c r="I566" s="46"/>
      <c r="J566" s="46" t="str">
        <f>IFERROR(__xludf.DUMMYFUNCTION("""COMPUTED_VALUE"""),"Thay thế")</f>
        <v>Thay thế</v>
      </c>
      <c r="K566" s="46" t="str">
        <f>IFERROR(__xludf.DUMMYFUNCTION("""COMPUTED_VALUE"""),"01presentor")</f>
        <v>01presentor</v>
      </c>
      <c r="L566" s="46"/>
      <c r="M566" s="46"/>
      <c r="N566" s="46"/>
      <c r="O566" s="46"/>
      <c r="P566" s="46"/>
      <c r="Q566" s="46" t="str">
        <f>IFERROR(__xludf.DUMMYFUNCTION("""COMPUTED_VALUE"""),"Hoàn thành")</f>
        <v>Hoàn thành</v>
      </c>
      <c r="R566" s="46"/>
      <c r="S566" s="46"/>
      <c r="T566" s="46"/>
      <c r="U566" s="46"/>
      <c r="V566" s="46"/>
      <c r="W566" s="46"/>
      <c r="X566" s="46"/>
      <c r="Y566" s="46"/>
      <c r="Z566" s="46"/>
      <c r="AA566" s="46"/>
    </row>
    <row r="567">
      <c r="A567" s="55">
        <f>IFERROR(__xludf.DUMMYFUNCTION("""COMPUTED_VALUE"""),44348.46101466435)</f>
        <v>44348.46101</v>
      </c>
      <c r="B567" s="56">
        <f>IFERROR(__xludf.DUMMYFUNCTION("""COMPUTED_VALUE"""),44348.0)</f>
        <v>44348</v>
      </c>
      <c r="C567" s="59" t="str">
        <f t="shared" si="3"/>
        <v/>
      </c>
      <c r="D567" s="46" t="str">
        <f>IFERROR(__xludf.DUMMYFUNCTION("""COMPUTED_VALUE"""),"Tuanva")</f>
        <v>Tuanva</v>
      </c>
      <c r="E567" s="57" t="str">
        <f>IFERROR(__xludf.DUMMYFUNCTION("""COMPUTED_VALUE"""),"5310107302")</f>
        <v>5310107302</v>
      </c>
      <c r="F567" s="46" t="str">
        <f>IFERROR(__xludf.DUMMYFUNCTION("""COMPUTED_VALUE"""),"PGD Hương Xạ, xã hương Xạ, huyện Hạ Hoà, tỉnh Phú Thọ")</f>
        <v>PGD Hương Xạ, xã hương Xạ, huyện Hạ Hoà, tỉnh Phú Thọ</v>
      </c>
      <c r="G567" s="46" t="str">
        <f>IFERROR(__xludf.DUMMYFUNCTION("""COMPUTED_VALUE"""),"Không rút được khay 50 và 200")</f>
        <v>Không rút được khay 50 và 200</v>
      </c>
      <c r="H567" s="46"/>
      <c r="I567" s="46" t="str">
        <f>IFERROR(__xludf.DUMMYFUNCTION("""COMPUTED_VALUE"""),"Bảo trì")</f>
        <v>Bảo trì</v>
      </c>
      <c r="J567" s="46" t="str">
        <f>IFERROR(__xludf.DUMMYFUNCTION("""COMPUTED_VALUE"""),"Thay thế trục pick tiền khay 50 và 200")</f>
        <v>Thay thế trục pick tiền khay 50 và 200</v>
      </c>
      <c r="K567" s="46"/>
      <c r="L567" s="46"/>
      <c r="M567" s="46"/>
      <c r="N567" s="46"/>
      <c r="O567" s="46"/>
      <c r="P567" s="46"/>
      <c r="Q567" s="46" t="str">
        <f>IFERROR(__xludf.DUMMYFUNCTION("""COMPUTED_VALUE"""),"Hoàn thành")</f>
        <v>Hoàn thành</v>
      </c>
      <c r="R567" s="46"/>
      <c r="S567" s="46"/>
      <c r="T567" s="46"/>
      <c r="U567" s="46"/>
      <c r="V567" s="46"/>
      <c r="W567" s="46"/>
      <c r="X567" s="46"/>
      <c r="Y567" s="46"/>
      <c r="Z567" s="46"/>
      <c r="AA567" s="46"/>
    </row>
    <row r="568">
      <c r="A568" s="55">
        <f>IFERROR(__xludf.DUMMYFUNCTION("""COMPUTED_VALUE"""),44348.64263207176)</f>
        <v>44348.64263</v>
      </c>
      <c r="B568" s="56">
        <f>IFERROR(__xludf.DUMMYFUNCTION("""COMPUTED_VALUE"""),44348.0)</f>
        <v>44348</v>
      </c>
      <c r="C568" s="59" t="str">
        <f t="shared" si="3"/>
        <v/>
      </c>
      <c r="D568" s="46" t="str">
        <f>IFERROR(__xludf.DUMMYFUNCTION("""COMPUTED_VALUE"""),"Thuongd")</f>
        <v>Thuongd</v>
      </c>
      <c r="E568" s="57" t="str">
        <f>IFERROR(__xludf.DUMMYFUNCTION("""COMPUTED_VALUE"""),"5300381741")</f>
        <v>5300381741</v>
      </c>
      <c r="F568" s="46" t="str">
        <f>IFERROR(__xludf.DUMMYFUNCTION("""COMPUTED_VALUE"""),"Thị trấn Còng, huyện Tĩnh Gia, Thanh Hóa")</f>
        <v>Thị trấn Còng, huyện Tĩnh Gia, Thanh Hóa</v>
      </c>
      <c r="G568" s="62">
        <f>IFERROR(__xludf.DUMMYFUNCTION("""COMPUTED_VALUE"""),44440.0)</f>
        <v>44440</v>
      </c>
      <c r="H568" s="46"/>
      <c r="I568" s="46"/>
      <c r="J568" s="46" t="str">
        <f>IFERROR(__xludf.DUMMYFUNCTION("""COMPUTED_VALUE"""),"Thay clamp")</f>
        <v>Thay clamp</v>
      </c>
      <c r="K568" s="46"/>
      <c r="L568" s="46"/>
      <c r="M568" s="46"/>
      <c r="N568" s="46"/>
      <c r="O568" s="46"/>
      <c r="P568" s="46"/>
      <c r="Q568" s="46" t="str">
        <f>IFERROR(__xludf.DUMMYFUNCTION("""COMPUTED_VALUE"""),"Hoàn thành")</f>
        <v>Hoàn thành</v>
      </c>
      <c r="R568" s="46"/>
      <c r="S568" s="46"/>
      <c r="T568" s="46"/>
      <c r="U568" s="46"/>
      <c r="V568" s="46"/>
      <c r="W568" s="46"/>
      <c r="X568" s="46"/>
      <c r="Y568" s="46"/>
      <c r="Z568" s="46"/>
      <c r="AA568" s="46"/>
    </row>
    <row r="569">
      <c r="A569" s="55">
        <f>IFERROR(__xludf.DUMMYFUNCTION("""COMPUTED_VALUE"""),44348.67058818287)</f>
        <v>44348.67059</v>
      </c>
      <c r="B569" s="56">
        <f>IFERROR(__xludf.DUMMYFUNCTION("""COMPUTED_VALUE"""),44348.0)</f>
        <v>44348</v>
      </c>
      <c r="C569" s="59" t="str">
        <f t="shared" si="3"/>
        <v/>
      </c>
      <c r="D569" s="46" t="str">
        <f>IFERROR(__xludf.DUMMYFUNCTION("""COMPUTED_VALUE"""),"Bannt")</f>
        <v>Bannt</v>
      </c>
      <c r="E569" s="57" t="str">
        <f>IFERROR(__xludf.DUMMYFUNCTION("""COMPUTED_VALUE"""),"5310107225")</f>
        <v>5310107225</v>
      </c>
      <c r="F569" s="46" t="str">
        <f>IFERROR(__xludf.DUMMYFUNCTION("""COMPUTED_VALUE"""),"Số 70 đường 19-5 thị trấn Phố Lu, huyện Bảo Thắng, Lào Cai")</f>
        <v>Số 70 đường 19-5 thị trấn Phố Lu, huyện Bảo Thắng, Lào Cai</v>
      </c>
      <c r="G569" s="46" t="str">
        <f>IFERROR(__xludf.DUMMYFUNCTION("""COMPUTED_VALUE"""),"Bảo trì định kỳ, máy lỗi 2.4")</f>
        <v>Bảo trì định kỳ, máy lỗi 2.4</v>
      </c>
      <c r="H569" s="46"/>
      <c r="I569" s="46"/>
      <c r="J569" s="46" t="str">
        <f>IFERROR(__xludf.DUMMYFUNCTION("""COMPUTED_VALUE"""),"Bảo trì ATM")</f>
        <v>Bảo trì ATM</v>
      </c>
      <c r="K569" s="46"/>
      <c r="L569" s="46"/>
      <c r="M569" s="46"/>
      <c r="N569" s="46"/>
      <c r="O569" s="46"/>
      <c r="P569" s="46"/>
      <c r="Q569" s="46" t="str">
        <f>IFERROR(__xludf.DUMMYFUNCTION("""COMPUTED_VALUE"""),"Hoàn thành")</f>
        <v>Hoàn thành</v>
      </c>
      <c r="R569" s="46"/>
      <c r="S569" s="46"/>
      <c r="T569" s="46"/>
      <c r="U569" s="46"/>
      <c r="V569" s="46"/>
      <c r="W569" s="46"/>
      <c r="X569" s="46"/>
      <c r="Y569" s="46"/>
      <c r="Z569" s="46"/>
      <c r="AA569" s="46"/>
    </row>
    <row r="570">
      <c r="A570" s="55">
        <f>IFERROR(__xludf.DUMMYFUNCTION("""COMPUTED_VALUE"""),44348.683447800926)</f>
        <v>44348.68345</v>
      </c>
      <c r="B570" s="56">
        <f>IFERROR(__xludf.DUMMYFUNCTION("""COMPUTED_VALUE"""),44348.0)</f>
        <v>44348</v>
      </c>
      <c r="C570" s="59" t="str">
        <f t="shared" si="3"/>
        <v/>
      </c>
      <c r="D570" s="46" t="str">
        <f>IFERROR(__xludf.DUMMYFUNCTION("""COMPUTED_VALUE"""),"thangnx")</f>
        <v>thangnx</v>
      </c>
      <c r="E570" s="57" t="str">
        <f>IFERROR(__xludf.DUMMYFUNCTION("""COMPUTED_VALUE"""),"J821001604")</f>
        <v>J821001604</v>
      </c>
      <c r="F570" s="46" t="str">
        <f>IFERROR(__xludf.DUMMYFUNCTION("""COMPUTED_VALUE"""),"Đường Trần Phú, P. Đình Bảng, TX. Từ Sơn, T. Bắc Ninh")</f>
        <v>Đường Trần Phú, P. Đình Bảng, TX. Từ Sơn, T. Bắc Ninh</v>
      </c>
      <c r="G570" s="46" t="str">
        <f>IFERROR(__xludf.DUMMYFUNCTION("""COMPUTED_VALUE"""),"Bảo trì, hay kẹt tiền")</f>
        <v>Bảo trì, hay kẹt tiền</v>
      </c>
      <c r="H570" s="46"/>
      <c r="I570" s="46" t="str">
        <f>IFERROR(__xludf.DUMMYFUNCTION("""COMPUTED_VALUE"""),"Bảo trì")</f>
        <v>Bảo trì</v>
      </c>
      <c r="J570" s="46" t="str">
        <f>IFERROR(__xludf.DUMMYFUNCTION("""COMPUTED_VALUE"""),"Vệ sinh bảo trì máy")</f>
        <v>Vệ sinh bảo trì máy</v>
      </c>
      <c r="K570" s="46"/>
      <c r="L570" s="46"/>
      <c r="M570" s="46"/>
      <c r="N570" s="46"/>
      <c r="O570" s="46"/>
      <c r="P570" s="46" t="str">
        <f>IFERROR(__xludf.DUMMYFUNCTION("""COMPUTED_VALUE"""),"Máy này đặt ngay vị trí nắng, không có điều hòa. Máy rất nóng, các chi tiết kim loại nóng, chi tiết cao su bị nhão. ")</f>
        <v>Máy này đặt ngay vị trí nắng, không có điều hòa. Máy rất nóng, các chi tiết kim loại nóng, chi tiết cao su bị nhão. </v>
      </c>
      <c r="Q570" s="46" t="str">
        <f>IFERROR(__xludf.DUMMYFUNCTION("""COMPUTED_VALUE"""),"Hoàn thành")</f>
        <v>Hoàn thành</v>
      </c>
      <c r="R570" s="46"/>
      <c r="S570" s="46"/>
      <c r="T570" s="46"/>
      <c r="U570" s="46"/>
      <c r="V570" s="46"/>
      <c r="W570" s="46"/>
      <c r="X570" s="46"/>
      <c r="Y570" s="46"/>
      <c r="Z570" s="46"/>
      <c r="AA570" s="46"/>
    </row>
    <row r="571">
      <c r="A571" s="55">
        <f>IFERROR(__xludf.DUMMYFUNCTION("""COMPUTED_VALUE"""),44348.7392850926)</f>
        <v>44348.73929</v>
      </c>
      <c r="B571" s="56">
        <f>IFERROR(__xludf.DUMMYFUNCTION("""COMPUTED_VALUE"""),44348.0)</f>
        <v>44348</v>
      </c>
      <c r="C571" s="59" t="str">
        <f t="shared" si="3"/>
        <v/>
      </c>
      <c r="D571" s="46" t="str">
        <f>IFERROR(__xludf.DUMMYFUNCTION("""COMPUTED_VALUE"""),"Hieppn")</f>
        <v>Hieppn</v>
      </c>
      <c r="E571" s="57" t="str">
        <f>IFERROR(__xludf.DUMMYFUNCTION("""COMPUTED_VALUE"""),"56HGL03522")</f>
        <v>56HGL03522</v>
      </c>
      <c r="F571" s="46" t="str">
        <f>IFERROR(__xludf.DUMMYFUNCTION("""COMPUTED_VALUE"""),"Khu công nghiệp Bảo Minh, Bắc Lương, Cát Thành, Nam Định")</f>
        <v>Khu công nghiệp Bảo Minh, Bắc Lương, Cát Thành, Nam Định</v>
      </c>
      <c r="G571" s="46" t="str">
        <f>IFERROR(__xludf.DUMMYFUNCTION("""COMPUTED_VALUE"""),"Lỗi bộ trả tiền")</f>
        <v>Lỗi bộ trả tiền</v>
      </c>
      <c r="H571" s="46"/>
      <c r="I571" s="46"/>
      <c r="J571" s="46" t="str">
        <f>IFERROR(__xludf.DUMMYFUNCTION("""COMPUTED_VALUE"""),"Lắp lại dây curoa tầng 1 vệ sinh bộ trả tiền")</f>
        <v>Lắp lại dây curoa tầng 1 vệ sinh bộ trả tiền</v>
      </c>
      <c r="K571" s="46"/>
      <c r="L571" s="46"/>
      <c r="M571" s="46"/>
      <c r="N571" s="46"/>
      <c r="O571" s="46"/>
      <c r="P571" s="46"/>
      <c r="Q571" s="46" t="str">
        <f>IFERROR(__xludf.DUMMYFUNCTION("""COMPUTED_VALUE"""),"Hoàn thành")</f>
        <v>Hoàn thành</v>
      </c>
      <c r="R571" s="46"/>
      <c r="S571" s="46"/>
      <c r="T571" s="46"/>
      <c r="U571" s="46"/>
      <c r="V571" s="46"/>
      <c r="W571" s="46"/>
      <c r="X571" s="46"/>
      <c r="Y571" s="46"/>
      <c r="Z571" s="46"/>
      <c r="AA571" s="46"/>
    </row>
    <row r="572">
      <c r="A572" s="55">
        <f>IFERROR(__xludf.DUMMYFUNCTION("""COMPUTED_VALUE"""),44348.88624989583)</f>
        <v>44348.88625</v>
      </c>
      <c r="B572" s="56">
        <f>IFERROR(__xludf.DUMMYFUNCTION("""COMPUTED_VALUE"""),44348.0)</f>
        <v>44348</v>
      </c>
      <c r="C572" s="59" t="str">
        <f t="shared" si="3"/>
        <v/>
      </c>
      <c r="D572" s="46" t="str">
        <f>IFERROR(__xludf.DUMMYFUNCTION("""COMPUTED_VALUE"""),"HaNH")</f>
        <v>HaNH</v>
      </c>
      <c r="E572" s="57" t="str">
        <f>IFERROR(__xludf.DUMMYFUNCTION("""COMPUTED_VALUE"""),"5310107050")</f>
        <v>5310107050</v>
      </c>
      <c r="F572" s="46" t="str">
        <f>IFERROR(__xludf.DUMMYFUNCTION("""COMPUTED_VALUE"""),"Phố Lạc Phong, thị trấn Nho Quan, huyện Nho Quan, Ninh Bình")</f>
        <v>Phố Lạc Phong, thị trấn Nho Quan, huyện Nho Quan, Ninh Bình</v>
      </c>
      <c r="G572" s="46" t="str">
        <f>IFERROR(__xludf.DUMMYFUNCTION("""COMPUTED_VALUE"""),"Lỗi BPTT")</f>
        <v>Lỗi BPTT</v>
      </c>
      <c r="H572" s="46"/>
      <c r="I572" s="46" t="str">
        <f>IFERROR(__xludf.DUMMYFUNCTION("""COMPUTED_VALUE"""),"Bảo trì")</f>
        <v>Bảo trì</v>
      </c>
      <c r="J572" s="46" t="str">
        <f>IFERROR(__xludf.DUMMYFUNCTION("""COMPUTED_VALUE"""),"Thay 3 pick tầng 100, 200, 500")</f>
        <v>Thay 3 pick tầng 100, 200, 500</v>
      </c>
      <c r="K572" s="46"/>
      <c r="L572" s="46"/>
      <c r="M572" s="46"/>
      <c r="N572" s="46"/>
      <c r="O572" s="46"/>
      <c r="P572" s="46"/>
      <c r="Q572" s="46" t="str">
        <f>IFERROR(__xludf.DUMMYFUNCTION("""COMPUTED_VALUE"""),"Hoàn thành")</f>
        <v>Hoàn thành</v>
      </c>
      <c r="R572" s="46"/>
      <c r="S572" s="46"/>
      <c r="T572" s="46"/>
      <c r="U572" s="46"/>
      <c r="V572" s="46"/>
      <c r="W572" s="46"/>
      <c r="X572" s="46"/>
      <c r="Y572" s="46"/>
      <c r="Z572" s="46"/>
      <c r="AA572" s="46"/>
    </row>
    <row r="573">
      <c r="A573" s="55">
        <f>IFERROR(__xludf.DUMMYFUNCTION("""COMPUTED_VALUE"""),44349.41367949074)</f>
        <v>44349.41368</v>
      </c>
      <c r="B573" s="56">
        <f>IFERROR(__xludf.DUMMYFUNCTION("""COMPUTED_VALUE"""),44348.0)</f>
        <v>44348</v>
      </c>
      <c r="C573" s="59" t="str">
        <f t="shared" si="3"/>
        <v/>
      </c>
      <c r="D573" s="46" t="str">
        <f>IFERROR(__xludf.DUMMYFUNCTION("""COMPUTED_VALUE"""),"Duclb")</f>
        <v>Duclb</v>
      </c>
      <c r="E573" s="57" t="str">
        <f>IFERROR(__xludf.DUMMYFUNCTION("""COMPUTED_VALUE"""),"5310181181")</f>
        <v>5310181181</v>
      </c>
      <c r="F573" s="46" t="str">
        <f>IFERROR(__xludf.DUMMYFUNCTION("""COMPUTED_VALUE"""),"Thôn 1, Thạch Đà, Mê Linh, Hà Nội")</f>
        <v>Thôn 1, Thạch Đà, Mê Linh, Hà Nội</v>
      </c>
      <c r="G573" s="46" t="str">
        <f>IFERROR(__xludf.DUMMYFUNCTION("""COMPUTED_VALUE"""),"Lỗi 29")</f>
        <v>Lỗi 29</v>
      </c>
      <c r="H573" s="46"/>
      <c r="I573" s="46" t="str">
        <f>IFERROR(__xludf.DUMMYFUNCTION("""COMPUTED_VALUE"""),"Bảo trì")</f>
        <v>Bảo trì</v>
      </c>
      <c r="J573" s="46" t="str">
        <f>IFERROR(__xludf.DUMMYFUNCTION("""COMPUTED_VALUE"""),"Vệ sinh cửa shutter")</f>
        <v>Vệ sinh cửa shutter</v>
      </c>
      <c r="K573" s="46"/>
      <c r="L573" s="46"/>
      <c r="M573" s="46"/>
      <c r="N573" s="46"/>
      <c r="O573" s="46"/>
      <c r="P573" s="46"/>
      <c r="Q573" s="46" t="str">
        <f>IFERROR(__xludf.DUMMYFUNCTION("""COMPUTED_VALUE"""),"Hoàn thành")</f>
        <v>Hoàn thành</v>
      </c>
      <c r="R573" s="46"/>
      <c r="S573" s="46"/>
      <c r="T573" s="46"/>
      <c r="U573" s="46"/>
      <c r="V573" s="46"/>
      <c r="W573" s="46"/>
      <c r="X573" s="46"/>
      <c r="Y573" s="46"/>
      <c r="Z573" s="46"/>
      <c r="AA573" s="46"/>
    </row>
    <row r="574">
      <c r="A574" s="55">
        <f>IFERROR(__xludf.DUMMYFUNCTION("""COMPUTED_VALUE"""),44349.61253804398)</f>
        <v>44349.61254</v>
      </c>
      <c r="B574" s="56">
        <f>IFERROR(__xludf.DUMMYFUNCTION("""COMPUTED_VALUE"""),44349.0)</f>
        <v>44349</v>
      </c>
      <c r="C574" s="59" t="str">
        <f t="shared" si="3"/>
        <v/>
      </c>
      <c r="D574" s="46" t="str">
        <f>IFERROR(__xludf.DUMMYFUNCTION("""COMPUTED_VALUE"""),"Tunt")</f>
        <v>Tunt</v>
      </c>
      <c r="E574" s="57" t="str">
        <f>IFERROR(__xludf.DUMMYFUNCTION("""COMPUTED_VALUE"""),"56HGL03518")</f>
        <v>56HGL03518</v>
      </c>
      <c r="F574" s="46" t="str">
        <f>IFERROR(__xludf.DUMMYFUNCTION("""COMPUTED_VALUE"""),"Trường Chuyên Nguyễn Văn Huyên, xã Sơn Đồng, Hoài Đức, Hà Nội")</f>
        <v>Trường Chuyên Nguyễn Văn Huyên, xã Sơn Đồng, Hoài Đức, Hà Nội</v>
      </c>
      <c r="G574" s="46" t="str">
        <f>IFERROR(__xludf.DUMMYFUNCTION("""COMPUTED_VALUE"""),"Lắp lại pre, đưa máy vào hoạt động")</f>
        <v>Lắp lại pre, đưa máy vào hoạt động</v>
      </c>
      <c r="H574" s="46"/>
      <c r="I574" s="46"/>
      <c r="J574" s="46" t="str">
        <f>IFERROR(__xludf.DUMMYFUNCTION("""COMPUTED_VALUE"""),"Lắp pre")</f>
        <v>Lắp pre</v>
      </c>
      <c r="K574" s="46"/>
      <c r="L574" s="46"/>
      <c r="M574" s="46"/>
      <c r="N574" s="46"/>
      <c r="O574" s="46"/>
      <c r="P574" s="46"/>
      <c r="Q574" s="46" t="str">
        <f>IFERROR(__xludf.DUMMYFUNCTION("""COMPUTED_VALUE"""),"Hoàn thành")</f>
        <v>Hoàn thành</v>
      </c>
      <c r="R574" s="46"/>
      <c r="S574" s="46"/>
      <c r="T574" s="46"/>
      <c r="U574" s="46"/>
      <c r="V574" s="46"/>
      <c r="W574" s="46"/>
      <c r="X574" s="46"/>
      <c r="Y574" s="46"/>
      <c r="Z574" s="46"/>
      <c r="AA574" s="46"/>
    </row>
    <row r="575">
      <c r="A575" s="55">
        <f>IFERROR(__xludf.DUMMYFUNCTION("""COMPUTED_VALUE"""),44349.61967623842)</f>
        <v>44349.61968</v>
      </c>
      <c r="B575" s="56">
        <f>IFERROR(__xludf.DUMMYFUNCTION("""COMPUTED_VALUE"""),44344.0)</f>
        <v>44344</v>
      </c>
      <c r="C575" s="59" t="str">
        <f t="shared" si="3"/>
        <v>Báo cáo muộn</v>
      </c>
      <c r="D575" s="46" t="str">
        <f>IFERROR(__xludf.DUMMYFUNCTION("""COMPUTED_VALUE"""),"Tunt")</f>
        <v>Tunt</v>
      </c>
      <c r="E575" s="57" t="str">
        <f>IFERROR(__xludf.DUMMYFUNCTION("""COMPUTED_VALUE"""),"5300380647")</f>
        <v>5300380647</v>
      </c>
      <c r="F575" s="46" t="str">
        <f>IFERROR(__xludf.DUMMYFUNCTION("""COMPUTED_VALUE"""),"112 Cầu Diễn, Phúc Diễn, Bắc Từ Liêm, Hà Nội")</f>
        <v>112 Cầu Diễn, Phúc Diễn, Bắc Từ Liêm, Hà Nội</v>
      </c>
      <c r="G575" s="46" t="str">
        <f>IFERROR(__xludf.DUMMYFUNCTION("""COMPUTED_VALUE"""),"Kẹt tiền")</f>
        <v>Kẹt tiền</v>
      </c>
      <c r="H575" s="46"/>
      <c r="I575" s="46"/>
      <c r="J575" s="46" t="str">
        <f>IFERROR(__xludf.DUMMYFUNCTION("""COMPUTED_VALUE"""),"Gỡ tiền kẹt")</f>
        <v>Gỡ tiền kẹt</v>
      </c>
      <c r="K575" s="46"/>
      <c r="L575" s="46"/>
      <c r="M575" s="46"/>
      <c r="N575" s="46"/>
      <c r="O575" s="46"/>
      <c r="P575" s="46"/>
      <c r="Q575" s="46" t="str">
        <f>IFERROR(__xludf.DUMMYFUNCTION("""COMPUTED_VALUE"""),"Hoàn thành")</f>
        <v>Hoàn thành</v>
      </c>
      <c r="R575" s="46"/>
      <c r="S575" s="46"/>
      <c r="T575" s="46"/>
      <c r="U575" s="46"/>
      <c r="V575" s="46"/>
      <c r="W575" s="46"/>
      <c r="X575" s="46"/>
      <c r="Y575" s="46"/>
      <c r="Z575" s="46"/>
      <c r="AA575" s="46"/>
    </row>
    <row r="576">
      <c r="A576" s="55">
        <f>IFERROR(__xludf.DUMMYFUNCTION("""COMPUTED_VALUE"""),44349.66968702547)</f>
        <v>44349.66969</v>
      </c>
      <c r="B576" s="56">
        <f>IFERROR(__xludf.DUMMYFUNCTION("""COMPUTED_VALUE"""),44349.0)</f>
        <v>44349</v>
      </c>
      <c r="C576" s="59" t="str">
        <f t="shared" si="3"/>
        <v/>
      </c>
      <c r="D576" s="46" t="str">
        <f>IFERROR(__xludf.DUMMYFUNCTION("""COMPUTED_VALUE"""),"Bannt")</f>
        <v>Bannt</v>
      </c>
      <c r="E576" s="57" t="str">
        <f>IFERROR(__xludf.DUMMYFUNCTION("""COMPUTED_VALUE"""),"5300381738")</f>
        <v>5300381738</v>
      </c>
      <c r="F576" s="46" t="str">
        <f>IFERROR(__xludf.DUMMYFUNCTION("""COMPUTED_VALUE"""),"70 đường 19 tháng 5 - Thị trấn Phố Lu")</f>
        <v>70 đường 19 tháng 5 - Thị trấn Phố Lu</v>
      </c>
      <c r="G576" s="46" t="str">
        <f>IFERROR(__xludf.DUMMYFUNCTION("""COMPUTED_VALUE"""),"Bảo trì định kỳ, máy hay bị lỗi 2.4")</f>
        <v>Bảo trì định kỳ, máy hay bị lỗi 2.4</v>
      </c>
      <c r="H576" s="46"/>
      <c r="I576" s="46"/>
      <c r="J576" s="46" t="str">
        <f>IFERROR(__xludf.DUMMYFUNCTION("""COMPUTED_VALUE"""),"Bảo trì định kỳ máy ATM")</f>
        <v>Bảo trì định kỳ máy ATM</v>
      </c>
      <c r="K576" s="46"/>
      <c r="L576" s="46"/>
      <c r="M576" s="46"/>
      <c r="N576" s="46"/>
      <c r="O576" s="46"/>
      <c r="P576" s="46"/>
      <c r="Q576" s="46" t="str">
        <f>IFERROR(__xludf.DUMMYFUNCTION("""COMPUTED_VALUE"""),"Hoàn thành")</f>
        <v>Hoàn thành</v>
      </c>
      <c r="R576" s="46"/>
      <c r="S576" s="46"/>
      <c r="T576" s="46"/>
      <c r="U576" s="46"/>
      <c r="V576" s="46"/>
      <c r="W576" s="46"/>
      <c r="X576" s="46"/>
      <c r="Y576" s="46"/>
      <c r="Z576" s="46"/>
      <c r="AA576" s="46"/>
    </row>
    <row r="577">
      <c r="A577" s="55">
        <f>IFERROR(__xludf.DUMMYFUNCTION("""COMPUTED_VALUE"""),44349.69418923611)</f>
        <v>44349.69419</v>
      </c>
      <c r="B577" s="56">
        <f>IFERROR(__xludf.DUMMYFUNCTION("""COMPUTED_VALUE"""),44349.0)</f>
        <v>44349</v>
      </c>
      <c r="C577" s="59" t="str">
        <f t="shared" si="3"/>
        <v/>
      </c>
      <c r="D577" s="46" t="str">
        <f>IFERROR(__xludf.DUMMYFUNCTION("""COMPUTED_VALUE"""),"thangnx")</f>
        <v>thangnx</v>
      </c>
      <c r="E577" s="57" t="str">
        <f>IFERROR(__xludf.DUMMYFUNCTION("""COMPUTED_VALUE"""),"5300381701")</f>
        <v>5300381701</v>
      </c>
      <c r="F577" s="46" t="str">
        <f>IFERROR(__xludf.DUMMYFUNCTION("""COMPUTED_VALUE"""),"739 Lạc Long Quân, Tây Hồ, Hà Nội")</f>
        <v>739 Lạc Long Quân, Tây Hồ, Hà Nội</v>
      </c>
      <c r="G577" s="46" t="str">
        <f>IFERROR(__xludf.DUMMYFUNCTION("""COMPUTED_VALUE"""),"hay mất kết nối")</f>
        <v>hay mất kết nối</v>
      </c>
      <c r="H577" s="46"/>
      <c r="I577" s="46"/>
      <c r="J577" s="46" t="str">
        <f>IFERROR(__xludf.DUMMYFUNCTION("""COMPUTED_VALUE"""),"Vệ sinh PC")</f>
        <v>Vệ sinh PC</v>
      </c>
      <c r="K577" s="46"/>
      <c r="L577" s="46"/>
      <c r="M577" s="46"/>
      <c r="N577" s="46"/>
      <c r="O577" s="46"/>
      <c r="P577" s="46"/>
      <c r="Q577" s="46" t="str">
        <f>IFERROR(__xludf.DUMMYFUNCTION("""COMPUTED_VALUE"""),"Hoàn thành")</f>
        <v>Hoàn thành</v>
      </c>
      <c r="R577" s="46"/>
      <c r="S577" s="46"/>
      <c r="T577" s="46"/>
      <c r="U577" s="46"/>
      <c r="V577" s="46"/>
      <c r="W577" s="46"/>
      <c r="X577" s="46"/>
      <c r="Y577" s="46"/>
      <c r="Z577" s="46"/>
      <c r="AA577" s="46"/>
    </row>
    <row r="578">
      <c r="A578" s="55">
        <f>IFERROR(__xludf.DUMMYFUNCTION("""COMPUTED_VALUE"""),44349.75361591435)</f>
        <v>44349.75362</v>
      </c>
      <c r="B578" s="56">
        <f>IFERROR(__xludf.DUMMYFUNCTION("""COMPUTED_VALUE"""),44348.0)</f>
        <v>44348</v>
      </c>
      <c r="C578" s="59" t="str">
        <f t="shared" si="3"/>
        <v/>
      </c>
      <c r="D578" s="46" t="str">
        <f>IFERROR(__xludf.DUMMYFUNCTION("""COMPUTED_VALUE"""),"Hoathv")</f>
        <v>Hoathv</v>
      </c>
      <c r="E578" s="57" t="str">
        <f>IFERROR(__xludf.DUMMYFUNCTION("""COMPUTED_VALUE"""),"5300381788")</f>
        <v>5300381788</v>
      </c>
      <c r="F578" s="46" t="str">
        <f>IFERROR(__xludf.DUMMYFUNCTION("""COMPUTED_VALUE"""),"146 phố Môi, thị trấn Môi, Thanh Hóa")</f>
        <v>146 phố Môi, thị trấn Môi, Thanh Hóa</v>
      </c>
      <c r="G578" s="46" t="str">
        <f>IFERROR(__xludf.DUMMYFUNCTION("""COMPUTED_VALUE"""),"Lỗi pc cỏre, bảo trì")</f>
        <v>Lỗi pc cỏre, bảo trì</v>
      </c>
      <c r="H578" s="46"/>
      <c r="I578" s="46" t="str">
        <f>IFERROR(__xludf.DUMMYFUNCTION("""COMPUTED_VALUE"""),"Bảo trì")</f>
        <v>Bảo trì</v>
      </c>
      <c r="J578" s="46"/>
      <c r="K578" s="46"/>
      <c r="L578" s="46"/>
      <c r="M578" s="46"/>
      <c r="N578" s="46"/>
      <c r="O578" s="46"/>
      <c r="P578" s="46"/>
      <c r="Q578" s="46" t="str">
        <f>IFERROR(__xludf.DUMMYFUNCTION("""COMPUTED_VALUE"""),"Hoàn thành")</f>
        <v>Hoàn thành</v>
      </c>
      <c r="R578" s="46"/>
      <c r="S578" s="46"/>
      <c r="T578" s="46"/>
      <c r="U578" s="46"/>
      <c r="V578" s="46"/>
      <c r="W578" s="46"/>
      <c r="X578" s="46"/>
      <c r="Y578" s="46"/>
      <c r="Z578" s="46"/>
      <c r="AA578" s="46"/>
    </row>
    <row r="579">
      <c r="A579" s="55">
        <f>IFERROR(__xludf.DUMMYFUNCTION("""COMPUTED_VALUE"""),44349.7541187037)</f>
        <v>44349.75412</v>
      </c>
      <c r="B579" s="56">
        <f>IFERROR(__xludf.DUMMYFUNCTION("""COMPUTED_VALUE"""),44349.0)</f>
        <v>44349</v>
      </c>
      <c r="C579" s="59" t="str">
        <f t="shared" si="3"/>
        <v/>
      </c>
      <c r="D579" s="46" t="str">
        <f>IFERROR(__xludf.DUMMYFUNCTION("""COMPUTED_VALUE"""),"Hoathv")</f>
        <v>Hoathv</v>
      </c>
      <c r="E579" s="57" t="str">
        <f>IFERROR(__xludf.DUMMYFUNCTION("""COMPUTED_VALUE"""),"5310106185")</f>
        <v>5310106185</v>
      </c>
      <c r="F579" s="46" t="str">
        <f>IFERROR(__xludf.DUMMYFUNCTION("""COMPUTED_VALUE"""),"Khu 5 thị trấn Kim Tân, Thạch Thành, huyện Thạch Thành, Thanh Hóa")</f>
        <v>Khu 5 thị trấn Kim Tân, Thạch Thành, huyện Thạch Thành, Thanh Hóa</v>
      </c>
      <c r="G579" s="46" t="str">
        <f>IFERROR(__xludf.DUMMYFUNCTION("""COMPUTED_VALUE"""),"Lỗi journal, bảo trì")</f>
        <v>Lỗi journal, bảo trì</v>
      </c>
      <c r="H579" s="46"/>
      <c r="I579" s="46" t="str">
        <f>IFERROR(__xludf.DUMMYFUNCTION("""COMPUTED_VALUE"""),"Bảo trì")</f>
        <v>Bảo trì</v>
      </c>
      <c r="J579" s="46"/>
      <c r="K579" s="46"/>
      <c r="L579" s="46"/>
      <c r="M579" s="46"/>
      <c r="N579" s="46"/>
      <c r="O579" s="46"/>
      <c r="P579" s="46"/>
      <c r="Q579" s="46" t="str">
        <f>IFERROR(__xludf.DUMMYFUNCTION("""COMPUTED_VALUE"""),"Hoàn thành")</f>
        <v>Hoàn thành</v>
      </c>
      <c r="R579" s="46"/>
      <c r="S579" s="46"/>
      <c r="T579" s="46"/>
      <c r="U579" s="46"/>
      <c r="V579" s="46"/>
      <c r="W579" s="46"/>
      <c r="X579" s="46"/>
      <c r="Y579" s="46"/>
      <c r="Z579" s="46"/>
      <c r="AA579" s="46"/>
    </row>
    <row r="580">
      <c r="A580" s="55">
        <f>IFERROR(__xludf.DUMMYFUNCTION("""COMPUTED_VALUE"""),44350.315453460644)</f>
        <v>44350.31545</v>
      </c>
      <c r="B580" s="56">
        <f>IFERROR(__xludf.DUMMYFUNCTION("""COMPUTED_VALUE"""),44349.0)</f>
        <v>44349</v>
      </c>
      <c r="C580" s="59" t="str">
        <f t="shared" si="3"/>
        <v/>
      </c>
      <c r="D580" s="46" t="str">
        <f>IFERROR(__xludf.DUMMYFUNCTION("""COMPUTED_VALUE"""),"Thuongd")</f>
        <v>Thuongd</v>
      </c>
      <c r="E580" s="57" t="str">
        <f>IFERROR(__xludf.DUMMYFUNCTION("""COMPUTED_VALUE"""),"5300381704")</f>
        <v>5300381704</v>
      </c>
      <c r="F580" s="46" t="str">
        <f>IFERROR(__xludf.DUMMYFUNCTION("""COMPUTED_VALUE"""),"Xóm 22, xã Nghi Trung, H.Nghi Lộc, Nghệ An")</f>
        <v>Xóm 22, xã Nghi Trung, H.Nghi Lộc, Nghệ An</v>
      </c>
      <c r="G580" s="46" t="str">
        <f>IFERROR(__xludf.DUMMYFUNCTION("""COMPUTED_VALUE"""),"Lỗi win")</f>
        <v>Lỗi win</v>
      </c>
      <c r="H580" s="46"/>
      <c r="I580" s="46"/>
      <c r="J580" s="46" t="str">
        <f>IFERROR(__xludf.DUMMYFUNCTION("""COMPUTED_VALUE"""),"Ghost lại hđh")</f>
        <v>Ghost lại hđh</v>
      </c>
      <c r="K580" s="46"/>
      <c r="L580" s="46"/>
      <c r="M580" s="46"/>
      <c r="N580" s="46"/>
      <c r="O580" s="46"/>
      <c r="P580" s="46"/>
      <c r="Q580" s="46" t="str">
        <f>IFERROR(__xludf.DUMMYFUNCTION("""COMPUTED_VALUE"""),"Hoàn thành")</f>
        <v>Hoàn thành</v>
      </c>
      <c r="R580" s="46"/>
      <c r="S580" s="46"/>
      <c r="T580" s="46"/>
      <c r="U580" s="46"/>
      <c r="V580" s="46"/>
      <c r="W580" s="46"/>
      <c r="X580" s="46"/>
      <c r="Y580" s="46"/>
      <c r="Z580" s="46"/>
      <c r="AA580" s="46"/>
    </row>
    <row r="581">
      <c r="A581" s="55">
        <f>IFERROR(__xludf.DUMMYFUNCTION("""COMPUTED_VALUE"""),44350.31599340278)</f>
        <v>44350.31599</v>
      </c>
      <c r="B581" s="56">
        <f>IFERROR(__xludf.DUMMYFUNCTION("""COMPUTED_VALUE"""),44349.0)</f>
        <v>44349</v>
      </c>
      <c r="C581" s="59" t="str">
        <f t="shared" si="3"/>
        <v/>
      </c>
      <c r="D581" s="46" t="str">
        <f>IFERROR(__xludf.DUMMYFUNCTION("""COMPUTED_VALUE"""),"Thuongd")</f>
        <v>Thuongd</v>
      </c>
      <c r="E581" s="57" t="str">
        <f>IFERROR(__xludf.DUMMYFUNCTION("""COMPUTED_VALUE"""),"5300381741")</f>
        <v>5300381741</v>
      </c>
      <c r="F581" s="46" t="str">
        <f>IFERROR(__xludf.DUMMYFUNCTION("""COMPUTED_VALUE"""),"Thị trấn Còng, huyện Tĩnh Gia, Thanh Hóa")</f>
        <v>Thị trấn Còng, huyện Tĩnh Gia, Thanh Hóa</v>
      </c>
      <c r="G581" s="46" t="str">
        <f>IFERROR(__xludf.DUMMYFUNCTION("""COMPUTED_VALUE"""),"Lỗi 1-9")</f>
        <v>Lỗi 1-9</v>
      </c>
      <c r="H581" s="46"/>
      <c r="I581" s="46"/>
      <c r="J581" s="46" t="str">
        <f>IFERROR(__xludf.DUMMYFUNCTION("""COMPUTED_VALUE"""),"Thay Pre ")</f>
        <v>Thay Pre </v>
      </c>
      <c r="K581" s="46"/>
      <c r="L581" s="46"/>
      <c r="M581" s="46"/>
      <c r="N581" s="46"/>
      <c r="O581" s="46"/>
      <c r="P581" s="46"/>
      <c r="Q581" s="46" t="str">
        <f>IFERROR(__xludf.DUMMYFUNCTION("""COMPUTED_VALUE"""),"Hoàn thành")</f>
        <v>Hoàn thành</v>
      </c>
      <c r="R581" s="46"/>
      <c r="S581" s="46"/>
      <c r="T581" s="46"/>
      <c r="U581" s="46"/>
      <c r="V581" s="46"/>
      <c r="W581" s="46"/>
      <c r="X581" s="46"/>
      <c r="Y581" s="46"/>
      <c r="Z581" s="46"/>
      <c r="AA581" s="46"/>
    </row>
    <row r="582">
      <c r="A582" s="55">
        <f>IFERROR(__xludf.DUMMYFUNCTION("""COMPUTED_VALUE"""),44350.40317464121)</f>
        <v>44350.40317</v>
      </c>
      <c r="B582" s="56">
        <f>IFERROR(__xludf.DUMMYFUNCTION("""COMPUTED_VALUE"""),44350.0)</f>
        <v>44350</v>
      </c>
      <c r="C582" s="59" t="str">
        <f t="shared" si="3"/>
        <v/>
      </c>
      <c r="D582" s="46" t="str">
        <f>IFERROR(__xludf.DUMMYFUNCTION("""COMPUTED_VALUE"""),"Hoathv")</f>
        <v>Hoathv</v>
      </c>
      <c r="E582" s="57" t="str">
        <f>IFERROR(__xludf.DUMMYFUNCTION("""COMPUTED_VALUE"""),"5310181046")</f>
        <v>5310181046</v>
      </c>
      <c r="F582" s="46" t="str">
        <f>IFERROR(__xludf.DUMMYFUNCTION("""COMPUTED_VALUE"""),"Phố Sim, xã Hợp Thành, huyện Triệu Sơn, tỉnh Thanh Hóa")</f>
        <v>Phố Sim, xã Hợp Thành, huyện Triệu Sơn, tỉnh Thanh Hóa</v>
      </c>
      <c r="G582" s="46" t="str">
        <f>IFERROR(__xludf.DUMMYFUNCTION("""COMPUTED_VALUE"""),"Lỗi phần mềm")</f>
        <v>Lỗi phần mềm</v>
      </c>
      <c r="H582" s="46"/>
      <c r="I582" s="46"/>
      <c r="J582" s="46" t="str">
        <f>IFERROR(__xludf.DUMMYFUNCTION("""COMPUTED_VALUE"""),"Ghost lại máy")</f>
        <v>Ghost lại máy</v>
      </c>
      <c r="K582" s="46"/>
      <c r="L582" s="46"/>
      <c r="M582" s="46"/>
      <c r="N582" s="46"/>
      <c r="O582" s="46"/>
      <c r="P582" s="46"/>
      <c r="Q582" s="46" t="str">
        <f>IFERROR(__xludf.DUMMYFUNCTION("""COMPUTED_VALUE"""),"Hoàn thành")</f>
        <v>Hoàn thành</v>
      </c>
      <c r="R582" s="46"/>
      <c r="S582" s="46"/>
      <c r="T582" s="46"/>
      <c r="U582" s="46"/>
      <c r="V582" s="46"/>
      <c r="W582" s="46"/>
      <c r="X582" s="46"/>
      <c r="Y582" s="46"/>
      <c r="Z582" s="46"/>
      <c r="AA582" s="46"/>
    </row>
    <row r="583">
      <c r="A583" s="55">
        <f>IFERROR(__xludf.DUMMYFUNCTION("""COMPUTED_VALUE"""),44350.623928217596)</f>
        <v>44350.62393</v>
      </c>
      <c r="B583" s="56">
        <f>IFERROR(__xludf.DUMMYFUNCTION("""COMPUTED_VALUE"""),44350.0)</f>
        <v>44350</v>
      </c>
      <c r="C583" s="59" t="str">
        <f t="shared" si="3"/>
        <v/>
      </c>
      <c r="D583" s="46" t="str">
        <f>IFERROR(__xludf.DUMMYFUNCTION("""COMPUTED_VALUE"""),"Hieppn")</f>
        <v>Hieppn</v>
      </c>
      <c r="E583" s="57" t="str">
        <f>IFERROR(__xludf.DUMMYFUNCTION("""COMPUTED_VALUE"""),"5310106969")</f>
        <v>5310106969</v>
      </c>
      <c r="F583" s="46" t="str">
        <f>IFERROR(__xludf.DUMMYFUNCTION("""COMPUTED_VALUE"""),"Trụ sở UBND xã Hương Sơn (ngã tư Đục Khê, Hương Sơn, Mỹ Đức, Hà Nội)")</f>
        <v>Trụ sở UBND xã Hương Sơn (ngã tư Đục Khê, Hương Sơn, Mỹ Đức, Hà Nội)</v>
      </c>
      <c r="G583" s="46" t="str">
        <f>IFERROR(__xludf.DUMMYFUNCTION("""COMPUTED_VALUE"""),"Tiền bị bắn lên trên khay rác, MainBoard ngang hết pin ")</f>
        <v>Tiền bị bắn lên trên khay rác, MainBoard ngang hết pin </v>
      </c>
      <c r="H583" s="46"/>
      <c r="I583" s="46"/>
      <c r="J583" s="46" t="str">
        <f>IFERROR(__xludf.DUMMYFUNCTION("""COMPUTED_VALUE"""),"Thay thế ")</f>
        <v>Thay thế </v>
      </c>
      <c r="K583" s="46" t="str">
        <f>IFERROR(__xludf.DUMMYFUNCTION("""COMPUTED_VALUE"""),"01 presentor")</f>
        <v>01 presentor</v>
      </c>
      <c r="L583" s="46" t="str">
        <f>IFERROR(__xludf.DUMMYFUNCTION("""COMPUTED_VALUE"""),"01 MainBoard ngang CMD")</f>
        <v>01 MainBoard ngang CMD</v>
      </c>
      <c r="M583" s="46"/>
      <c r="N583" s="46"/>
      <c r="O583" s="46"/>
      <c r="P583" s="46"/>
      <c r="Q583" s="46" t="str">
        <f>IFERROR(__xludf.DUMMYFUNCTION("""COMPUTED_VALUE"""),"Hoàn thành")</f>
        <v>Hoàn thành</v>
      </c>
      <c r="R583" s="46"/>
      <c r="S583" s="46"/>
      <c r="T583" s="46"/>
      <c r="U583" s="46"/>
      <c r="V583" s="46"/>
      <c r="W583" s="46"/>
      <c r="X583" s="46"/>
      <c r="Y583" s="46"/>
      <c r="Z583" s="46"/>
      <c r="AA583" s="46"/>
    </row>
    <row r="584">
      <c r="A584" s="55">
        <f>IFERROR(__xludf.DUMMYFUNCTION("""COMPUTED_VALUE"""),44351.35189763889)</f>
        <v>44351.3519</v>
      </c>
      <c r="B584" s="56">
        <f>IFERROR(__xludf.DUMMYFUNCTION("""COMPUTED_VALUE"""),44350.0)</f>
        <v>44350</v>
      </c>
      <c r="C584" s="59" t="str">
        <f t="shared" si="3"/>
        <v/>
      </c>
      <c r="D584" s="46" t="str">
        <f>IFERROR(__xludf.DUMMYFUNCTION("""COMPUTED_VALUE"""),"Thuongd")</f>
        <v>Thuongd</v>
      </c>
      <c r="E584" s="57" t="str">
        <f>IFERROR(__xludf.DUMMYFUNCTION("""COMPUTED_VALUE"""),"5300380354")</f>
        <v>5300380354</v>
      </c>
      <c r="F584" s="46" t="str">
        <f>IFERROR(__xludf.DUMMYFUNCTION("""COMPUTED_VALUE"""),"Xóm Hợp Thuận, xã Xuân Phổ, Nghi Xuân, Hà Tĩnh")</f>
        <v>Xóm Hợp Thuận, xã Xuân Phổ, Nghi Xuân, Hà Tĩnh</v>
      </c>
      <c r="G584" s="46" t="str">
        <f>IFERROR(__xludf.DUMMYFUNCTION("""COMPUTED_VALUE"""),"Lỗi bptt")</f>
        <v>Lỗi bptt</v>
      </c>
      <c r="H584" s="46"/>
      <c r="I584" s="46"/>
      <c r="J584" s="46" t="str">
        <f>IFERROR(__xludf.DUMMYFUNCTION("""COMPUTED_VALUE"""),"Căn chỉnh gap")</f>
        <v>Căn chỉnh gap</v>
      </c>
      <c r="K584" s="46"/>
      <c r="L584" s="46"/>
      <c r="M584" s="46"/>
      <c r="N584" s="46"/>
      <c r="O584" s="46"/>
      <c r="P584" s="46"/>
      <c r="Q584" s="46" t="str">
        <f>IFERROR(__xludf.DUMMYFUNCTION("""COMPUTED_VALUE"""),"Hoàn thành")</f>
        <v>Hoàn thành</v>
      </c>
      <c r="R584" s="46"/>
      <c r="S584" s="46"/>
      <c r="T584" s="46"/>
      <c r="U584" s="46"/>
      <c r="V584" s="46"/>
      <c r="W584" s="46"/>
      <c r="X584" s="46"/>
      <c r="Y584" s="46"/>
      <c r="Z584" s="46"/>
      <c r="AA584" s="46"/>
    </row>
    <row r="585">
      <c r="A585" s="55">
        <f>IFERROR(__xludf.DUMMYFUNCTION("""COMPUTED_VALUE"""),44351.35505388889)</f>
        <v>44351.35505</v>
      </c>
      <c r="B585" s="56">
        <f>IFERROR(__xludf.DUMMYFUNCTION("""COMPUTED_VALUE"""),44350.0)</f>
        <v>44350</v>
      </c>
      <c r="C585" s="59" t="str">
        <f t="shared" si="3"/>
        <v/>
      </c>
      <c r="D585" s="46" t="str">
        <f>IFERROR(__xludf.DUMMYFUNCTION("""COMPUTED_VALUE"""),"HaNH")</f>
        <v>HaNH</v>
      </c>
      <c r="E585" s="57" t="str">
        <f>IFERROR(__xludf.DUMMYFUNCTION("""COMPUTED_VALUE"""),"5300380399")</f>
        <v>5300380399</v>
      </c>
      <c r="F585" s="46" t="str">
        <f>IFERROR(__xludf.DUMMYFUNCTION("""COMPUTED_VALUE"""),"Đường Thừa Dụ - Thị trấn Ninh Giang - H. Ninh Giang - T. Hải Dương")</f>
        <v>Đường Thừa Dụ - Thị trấn Ninh Giang - H. Ninh Giang - T. Hải Dương</v>
      </c>
      <c r="G585" s="46" t="str">
        <f>IFERROR(__xludf.DUMMYFUNCTION("""COMPUTED_VALUE"""),"Lỗi đầu đọc thẻ, Bảo trì")</f>
        <v>Lỗi đầu đọc thẻ, Bảo trì</v>
      </c>
      <c r="H585" s="46"/>
      <c r="I585" s="46" t="str">
        <f>IFERROR(__xludf.DUMMYFUNCTION("""COMPUTED_VALUE"""),"Bảo trì")</f>
        <v>Bảo trì</v>
      </c>
      <c r="J585" s="46" t="str">
        <f>IFERROR(__xludf.DUMMYFUNCTION("""COMPUTED_VALUE"""),"Thay đầu đọc thẻ")</f>
        <v>Thay đầu đọc thẻ</v>
      </c>
      <c r="K585" s="46"/>
      <c r="L585" s="46"/>
      <c r="M585" s="46"/>
      <c r="N585" s="46"/>
      <c r="O585" s="46"/>
      <c r="P585" s="46"/>
      <c r="Q585" s="46" t="str">
        <f>IFERROR(__xludf.DUMMYFUNCTION("""COMPUTED_VALUE"""),"Hoàn thành")</f>
        <v>Hoàn thành</v>
      </c>
      <c r="R585" s="46"/>
      <c r="S585" s="46"/>
      <c r="T585" s="46"/>
      <c r="U585" s="46"/>
      <c r="V585" s="46"/>
      <c r="W585" s="46"/>
      <c r="X585" s="46"/>
      <c r="Y585" s="46"/>
      <c r="Z585" s="46"/>
      <c r="AA585" s="46"/>
    </row>
    <row r="586">
      <c r="A586" s="55">
        <f>IFERROR(__xludf.DUMMYFUNCTION("""COMPUTED_VALUE"""),44351.355587881946)</f>
        <v>44351.35559</v>
      </c>
      <c r="B586" s="56">
        <f>IFERROR(__xludf.DUMMYFUNCTION("""COMPUTED_VALUE"""),44350.0)</f>
        <v>44350</v>
      </c>
      <c r="C586" s="59" t="str">
        <f t="shared" si="3"/>
        <v/>
      </c>
      <c r="D586" s="46" t="str">
        <f>IFERROR(__xludf.DUMMYFUNCTION("""COMPUTED_VALUE"""),"HaNH")</f>
        <v>HaNH</v>
      </c>
      <c r="E586" s="57" t="str">
        <f>IFERROR(__xludf.DUMMYFUNCTION("""COMPUTED_VALUE"""),"5310182954")</f>
        <v>5310182954</v>
      </c>
      <c r="F586" s="46" t="str">
        <f>IFERROR(__xludf.DUMMYFUNCTION("""COMPUTED_VALUE"""),"100 Phạm Ngũ Lão, TT Kẻ Sặt, huyện Bình Giang")</f>
        <v>100 Phạm Ngũ Lão, TT Kẻ Sặt, huyện Bình Giang</v>
      </c>
      <c r="G586" s="46" t="str">
        <f>IFERROR(__xludf.DUMMYFUNCTION("""COMPUTED_VALUE"""),"Hay kẹt tầng 200k")</f>
        <v>Hay kẹt tầng 200k</v>
      </c>
      <c r="H586" s="46"/>
      <c r="I586" s="46"/>
      <c r="J586" s="46" t="str">
        <f>IFERROR(__xludf.DUMMYFUNCTION("""COMPUTED_VALUE"""),"Thay thế trục pick tầng 200k")</f>
        <v>Thay thế trục pick tầng 200k</v>
      </c>
      <c r="K586" s="46"/>
      <c r="L586" s="46"/>
      <c r="M586" s="46"/>
      <c r="N586" s="46"/>
      <c r="O586" s="46"/>
      <c r="P586" s="46"/>
      <c r="Q586" s="46" t="str">
        <f>IFERROR(__xludf.DUMMYFUNCTION("""COMPUTED_VALUE"""),"Hoàn thành")</f>
        <v>Hoàn thành</v>
      </c>
      <c r="R586" s="46"/>
      <c r="S586" s="46"/>
      <c r="T586" s="46"/>
      <c r="U586" s="46"/>
      <c r="V586" s="46"/>
      <c r="W586" s="46"/>
      <c r="X586" s="46"/>
      <c r="Y586" s="46"/>
      <c r="Z586" s="46"/>
      <c r="AA586" s="46"/>
    </row>
    <row r="587">
      <c r="A587" s="55">
        <f>IFERROR(__xludf.DUMMYFUNCTION("""COMPUTED_VALUE"""),44351.40207476851)</f>
        <v>44351.40207</v>
      </c>
      <c r="B587" s="56">
        <f>IFERROR(__xludf.DUMMYFUNCTION("""COMPUTED_VALUE"""),44351.0)</f>
        <v>44351</v>
      </c>
      <c r="C587" s="59" t="str">
        <f t="shared" si="3"/>
        <v/>
      </c>
      <c r="D587" s="46" t="str">
        <f>IFERROR(__xludf.DUMMYFUNCTION("""COMPUTED_VALUE"""),"Hoathv")</f>
        <v>Hoathv</v>
      </c>
      <c r="E587" s="57" t="str">
        <f>IFERROR(__xludf.DUMMYFUNCTION("""COMPUTED_VALUE"""),"5310182560")</f>
        <v>5310182560</v>
      </c>
      <c r="F587" s="46" t="str">
        <f>IFERROR(__xludf.DUMMYFUNCTION("""COMPUTED_VALUE"""),"Khu 3, TT Vĩnh Lộc, huyện Vĩnh Lộc, tỉnh Thanh Hóa")</f>
        <v>Khu 3, TT Vĩnh Lộc, huyện Vĩnh Lộc, tỉnh Thanh Hóa</v>
      </c>
      <c r="G587" s="46" t="str">
        <f>IFERROR(__xludf.DUMMYFUNCTION("""COMPUTED_VALUE"""),"Lỗi khay 100k,50k")</f>
        <v>Lỗi khay 100k,50k</v>
      </c>
      <c r="H587" s="46"/>
      <c r="I587" s="46"/>
      <c r="J587" s="46" t="str">
        <f>IFERROR(__xludf.DUMMYFUNCTION("""COMPUTED_VALUE"""),"Vệ sinh, đổii gap")</f>
        <v>Vệ sinh, đổii gap</v>
      </c>
      <c r="K587" s="46"/>
      <c r="L587" s="46"/>
      <c r="M587" s="46"/>
      <c r="N587" s="46"/>
      <c r="O587" s="46"/>
      <c r="P587" s="46"/>
      <c r="Q587" s="46" t="str">
        <f>IFERROR(__xludf.DUMMYFUNCTION("""COMPUTED_VALUE"""),"Hoàn thành")</f>
        <v>Hoàn thành</v>
      </c>
      <c r="R587" s="46"/>
      <c r="S587" s="46"/>
      <c r="T587" s="46"/>
      <c r="U587" s="46"/>
      <c r="V587" s="46"/>
      <c r="W587" s="46"/>
      <c r="X587" s="46"/>
      <c r="Y587" s="46"/>
      <c r="Z587" s="46"/>
      <c r="AA587" s="46"/>
    </row>
    <row r="588">
      <c r="A588" s="55">
        <f>IFERROR(__xludf.DUMMYFUNCTION("""COMPUTED_VALUE"""),44351.518941574075)</f>
        <v>44351.51894</v>
      </c>
      <c r="B588" s="56">
        <f>IFERROR(__xludf.DUMMYFUNCTION("""COMPUTED_VALUE"""),44351.0)</f>
        <v>44351</v>
      </c>
      <c r="C588" s="59" t="str">
        <f t="shared" si="3"/>
        <v/>
      </c>
      <c r="D588" s="46" t="str">
        <f>IFERROR(__xludf.DUMMYFUNCTION("""COMPUTED_VALUE"""),"Thuongd")</f>
        <v>Thuongd</v>
      </c>
      <c r="E588" s="57" t="str">
        <f>IFERROR(__xludf.DUMMYFUNCTION("""COMPUTED_VALUE"""),"5300381778")</f>
        <v>5300381778</v>
      </c>
      <c r="F588" s="46" t="str">
        <f>IFERROR(__xludf.DUMMYFUNCTION("""COMPUTED_VALUE"""),"Xã Yên Sơn, H.Đô Lương, Nghệ An")</f>
        <v>Xã Yên Sơn, H.Đô Lương, Nghệ An</v>
      </c>
      <c r="G588" s="46" t="str">
        <f>IFERROR(__xludf.DUMMYFUNCTION("""COMPUTED_VALUE"""),"Lỗi khởi động ")</f>
        <v>Lỗi khởi động </v>
      </c>
      <c r="H588" s="46"/>
      <c r="I588" s="46"/>
      <c r="J588" s="46" t="str">
        <f>IFERROR(__xludf.DUMMYFUNCTION("""COMPUTED_VALUE"""),"Vệ sinh pc và ghost lại")</f>
        <v>Vệ sinh pc và ghost lại</v>
      </c>
      <c r="K588" s="46"/>
      <c r="L588" s="46"/>
      <c r="M588" s="46"/>
      <c r="N588" s="46"/>
      <c r="O588" s="46"/>
      <c r="P588" s="46"/>
      <c r="Q588" s="46" t="str">
        <f>IFERROR(__xludf.DUMMYFUNCTION("""COMPUTED_VALUE"""),"Hoàn thành")</f>
        <v>Hoàn thành</v>
      </c>
      <c r="R588" s="46"/>
      <c r="S588" s="46"/>
      <c r="T588" s="46"/>
      <c r="U588" s="46"/>
      <c r="V588" s="46"/>
      <c r="W588" s="46"/>
      <c r="X588" s="46"/>
      <c r="Y588" s="46"/>
      <c r="Z588" s="46"/>
      <c r="AA588" s="46"/>
    </row>
    <row r="589">
      <c r="A589" s="55">
        <f>IFERROR(__xludf.DUMMYFUNCTION("""COMPUTED_VALUE"""),44353.488601550926)</f>
        <v>44353.4886</v>
      </c>
      <c r="B589" s="56">
        <f>IFERROR(__xludf.DUMMYFUNCTION("""COMPUTED_VALUE"""),44353.0)</f>
        <v>44353</v>
      </c>
      <c r="C589" s="59" t="str">
        <f t="shared" si="3"/>
        <v/>
      </c>
      <c r="D589" s="46" t="str">
        <f>IFERROR(__xludf.DUMMYFUNCTION("""COMPUTED_VALUE"""),"Thuongd")</f>
        <v>Thuongd</v>
      </c>
      <c r="E589" s="57" t="str">
        <f>IFERROR(__xludf.DUMMYFUNCTION("""COMPUTED_VALUE"""),"5310180916")</f>
        <v>5310180916</v>
      </c>
      <c r="F589" s="46" t="str">
        <f>IFERROR(__xludf.DUMMYFUNCTION("""COMPUTED_VALUE"""),"Xóm 11, xã Quang Sơn, huyện Đô Lương, tỉnh Nghệ An")</f>
        <v>Xóm 11, xã Quang Sơn, huyện Đô Lương, tỉnh Nghệ An</v>
      </c>
      <c r="G589" s="62">
        <f>IFERROR(__xludf.DUMMYFUNCTION("""COMPUTED_VALUE"""),44257.0)</f>
        <v>44257</v>
      </c>
      <c r="H589" s="46"/>
      <c r="I589" s="46"/>
      <c r="J589" s="46" t="str">
        <f>IFERROR(__xludf.DUMMYFUNCTION("""COMPUTED_VALUE"""),"Thay khoá clamp")</f>
        <v>Thay khoá clamp</v>
      </c>
      <c r="K589" s="46"/>
      <c r="L589" s="46"/>
      <c r="M589" s="46"/>
      <c r="N589" s="46"/>
      <c r="O589" s="46"/>
      <c r="P589" s="46"/>
      <c r="Q589" s="46" t="str">
        <f>IFERROR(__xludf.DUMMYFUNCTION("""COMPUTED_VALUE"""),"Hoàn thành")</f>
        <v>Hoàn thành</v>
      </c>
      <c r="R589" s="46"/>
      <c r="S589" s="46"/>
      <c r="T589" s="46"/>
      <c r="U589" s="46"/>
      <c r="V589" s="46"/>
      <c r="W589" s="46"/>
      <c r="X589" s="46"/>
      <c r="Y589" s="46"/>
      <c r="Z589" s="46"/>
      <c r="AA589" s="46"/>
    </row>
    <row r="590">
      <c r="A590" s="55">
        <f>IFERROR(__xludf.DUMMYFUNCTION("""COMPUTED_VALUE"""),44353.48986215278)</f>
        <v>44353.48986</v>
      </c>
      <c r="B590" s="56">
        <f>IFERROR(__xludf.DUMMYFUNCTION("""COMPUTED_VALUE"""),44352.0)</f>
        <v>44352</v>
      </c>
      <c r="C590" s="59" t="str">
        <f t="shared" si="3"/>
        <v/>
      </c>
      <c r="D590" s="46" t="str">
        <f>IFERROR(__xludf.DUMMYFUNCTION("""COMPUTED_VALUE"""),"Thuongd")</f>
        <v>Thuongd</v>
      </c>
      <c r="E590" s="57" t="str">
        <f>IFERROR(__xludf.DUMMYFUNCTION("""COMPUTED_VALUE"""),"5300381741")</f>
        <v>5300381741</v>
      </c>
      <c r="F590" s="46" t="str">
        <f>IFERROR(__xludf.DUMMYFUNCTION("""COMPUTED_VALUE"""),"Thị trấn Còng, huyện Tĩnh Gia, Thanh Hóa")</f>
        <v>Thị trấn Còng, huyện Tĩnh Gia, Thanh Hóa</v>
      </c>
      <c r="G590" s="62">
        <f>IFERROR(__xludf.DUMMYFUNCTION("""COMPUTED_VALUE"""),44440.0)</f>
        <v>44440</v>
      </c>
      <c r="H590" s="46"/>
      <c r="I590" s="46"/>
      <c r="J590" s="46" t="str">
        <f>IFERROR(__xludf.DUMMYFUNCTION("""COMPUTED_VALUE"""),"Thay pre")</f>
        <v>Thay pre</v>
      </c>
      <c r="K590" s="46"/>
      <c r="L590" s="46"/>
      <c r="M590" s="46"/>
      <c r="N590" s="46"/>
      <c r="O590" s="46"/>
      <c r="P590" s="46"/>
      <c r="Q590" s="46" t="str">
        <f>IFERROR(__xludf.DUMMYFUNCTION("""COMPUTED_VALUE"""),"Hoàn thành")</f>
        <v>Hoàn thành</v>
      </c>
      <c r="R590" s="46"/>
      <c r="S590" s="46"/>
      <c r="T590" s="46"/>
      <c r="U590" s="46"/>
      <c r="V590" s="46"/>
      <c r="W590" s="46"/>
      <c r="X590" s="46"/>
      <c r="Y590" s="46"/>
      <c r="Z590" s="46"/>
      <c r="AA590" s="46"/>
    </row>
    <row r="591">
      <c r="A591" s="55">
        <f>IFERROR(__xludf.DUMMYFUNCTION("""COMPUTED_VALUE"""),44354.7126575)</f>
        <v>44354.71266</v>
      </c>
      <c r="B591" s="56">
        <f>IFERROR(__xludf.DUMMYFUNCTION("""COMPUTED_VALUE"""),44354.0)</f>
        <v>44354</v>
      </c>
      <c r="C591" s="59" t="str">
        <f t="shared" si="3"/>
        <v/>
      </c>
      <c r="D591" s="46" t="str">
        <f>IFERROR(__xludf.DUMMYFUNCTION("""COMPUTED_VALUE"""),"Hieppn")</f>
        <v>Hieppn</v>
      </c>
      <c r="E591" s="57" t="str">
        <f>IFERROR(__xludf.DUMMYFUNCTION("""COMPUTED_VALUE"""),"5310107143")</f>
        <v>5310107143</v>
      </c>
      <c r="F591" s="46" t="str">
        <f>IFERROR(__xludf.DUMMYFUNCTION("""COMPUTED_VALUE"""),"Số 199 Tô Hiệu, phường Hồ Nam, Quận Lê Chân")</f>
        <v>Số 199 Tô Hiệu, phường Hồ Nam, Quận Lê Chân</v>
      </c>
      <c r="G591" s="46" t="str">
        <f>IFERROR(__xludf.DUMMYFUNCTION("""COMPUTED_VALUE"""),"Bảo trì định kỳ")</f>
        <v>Bảo trì định kỳ</v>
      </c>
      <c r="H591" s="46"/>
      <c r="I591" s="46" t="str">
        <f>IFERROR(__xludf.DUMMYFUNCTION("""COMPUTED_VALUE"""),"Bảo trì")</f>
        <v>Bảo trì</v>
      </c>
      <c r="J591" s="46" t="str">
        <f>IFERROR(__xludf.DUMMYFUNCTION("""COMPUTED_VALUE"""),"Bảo trì định kỳ")</f>
        <v>Bảo trì định kỳ</v>
      </c>
      <c r="K591" s="46"/>
      <c r="L591" s="46"/>
      <c r="M591" s="46"/>
      <c r="N591" s="46"/>
      <c r="O591" s="46"/>
      <c r="P591" s="46" t="str">
        <f>IFERROR(__xludf.DUMMYFUNCTION("""COMPUTED_VALUE"""),"Clamp có đấu hiệu bị hỏng bánh răng vàng trong motor clamp, dây curoa extractor tầng 2 cần thay trong lần khắc phục tớii")</f>
        <v>Clamp có đấu hiệu bị hỏng bánh răng vàng trong motor clamp, dây curoa extractor tầng 2 cần thay trong lần khắc phục tớii</v>
      </c>
      <c r="Q591" s="46" t="str">
        <f>IFERROR(__xludf.DUMMYFUNCTION("""COMPUTED_VALUE"""),"Hoàn thành")</f>
        <v>Hoàn thành</v>
      </c>
      <c r="R591" s="46"/>
      <c r="S591" s="46"/>
      <c r="T591" s="46"/>
      <c r="U591" s="46"/>
      <c r="V591" s="46"/>
      <c r="W591" s="46"/>
      <c r="X591" s="46"/>
      <c r="Y591" s="46"/>
      <c r="Z591" s="46"/>
      <c r="AA591" s="46"/>
    </row>
    <row r="592">
      <c r="A592" s="55">
        <f>IFERROR(__xludf.DUMMYFUNCTION("""COMPUTED_VALUE"""),44354.71444686342)</f>
        <v>44354.71445</v>
      </c>
      <c r="B592" s="56">
        <f>IFERROR(__xludf.DUMMYFUNCTION("""COMPUTED_VALUE"""),44354.0)</f>
        <v>44354</v>
      </c>
      <c r="C592" s="59" t="str">
        <f t="shared" si="3"/>
        <v/>
      </c>
      <c r="D592" s="46" t="str">
        <f>IFERROR(__xludf.DUMMYFUNCTION("""COMPUTED_VALUE"""),"Hieppn")</f>
        <v>Hieppn</v>
      </c>
      <c r="E592" s="57" t="str">
        <f>IFERROR(__xludf.DUMMYFUNCTION("""COMPUTED_VALUE"""),"56HG707958")</f>
        <v>56HG707958</v>
      </c>
      <c r="F592" s="46" t="str">
        <f>IFERROR(__xludf.DUMMYFUNCTION("""COMPUTED_VALUE"""),"Xã Tân Dương, Huyện Thủy Nguyên, TP.Hải Phòng")</f>
        <v>Xã Tân Dương, Huyện Thủy Nguyên, TP.Hải Phòng</v>
      </c>
      <c r="G592" s="46" t="str">
        <f>IFERROR(__xludf.DUMMYFUNCTION("""COMPUTED_VALUE"""),"Khắc phục sự cố và bảo trì")</f>
        <v>Khắc phục sự cố và bảo trì</v>
      </c>
      <c r="H592" s="46"/>
      <c r="I592" s="46" t="str">
        <f>IFERROR(__xludf.DUMMYFUNCTION("""COMPUTED_VALUE"""),"Bảo trì")</f>
        <v>Bảo trì</v>
      </c>
      <c r="J592" s="46" t="str">
        <f>IFERROR(__xludf.DUMMYFUNCTION("""COMPUTED_VALUE"""),"Gỡ giấy kẹt máy in")</f>
        <v>Gỡ giấy kẹt máy in</v>
      </c>
      <c r="K592" s="46"/>
      <c r="L592" s="46"/>
      <c r="M592" s="46"/>
      <c r="N592" s="46"/>
      <c r="O592" s="46"/>
      <c r="P592" s="46"/>
      <c r="Q592" s="46" t="str">
        <f>IFERROR(__xludf.DUMMYFUNCTION("""COMPUTED_VALUE"""),"Hoàn thành")</f>
        <v>Hoàn thành</v>
      </c>
      <c r="R592" s="46"/>
      <c r="S592" s="46"/>
      <c r="T592" s="46"/>
      <c r="U592" s="46"/>
      <c r="V592" s="46"/>
      <c r="W592" s="46"/>
      <c r="X592" s="46"/>
      <c r="Y592" s="46"/>
      <c r="Z592" s="46"/>
      <c r="AA592" s="46"/>
    </row>
    <row r="593">
      <c r="A593" s="55">
        <f>IFERROR(__xludf.DUMMYFUNCTION("""COMPUTED_VALUE"""),44354.73638086805)</f>
        <v>44354.73638</v>
      </c>
      <c r="B593" s="56">
        <f>IFERROR(__xludf.DUMMYFUNCTION("""COMPUTED_VALUE"""),44354.0)</f>
        <v>44354</v>
      </c>
      <c r="C593" s="59" t="str">
        <f t="shared" si="3"/>
        <v/>
      </c>
      <c r="D593" s="46" t="str">
        <f>IFERROR(__xludf.DUMMYFUNCTION("""COMPUTED_VALUE"""),"Tuanva")</f>
        <v>Tuanva</v>
      </c>
      <c r="E593" s="57" t="str">
        <f>IFERROR(__xludf.DUMMYFUNCTION("""COMPUTED_VALUE"""),"5310181577")</f>
        <v>5310181577</v>
      </c>
      <c r="F593" s="46" t="str">
        <f>IFERROR(__xludf.DUMMYFUNCTION("""COMPUTED_VALUE"""),"Xóm Thuần Pháp, xã Điềm Thụy, huyện Phú Bình, tỉnh Thái Nguyên")</f>
        <v>Xóm Thuần Pháp, xã Điềm Thụy, huyện Phú Bình, tỉnh Thái Nguyên</v>
      </c>
      <c r="G593" s="46" t="str">
        <f>IFERROR(__xludf.DUMMYFUNCTION("""COMPUTED_VALUE"""),"Lỗi bộ phận trả tiền,tiền loại rất nhiều")</f>
        <v>Lỗi bộ phận trả tiền,tiền loại rất nhiều</v>
      </c>
      <c r="H593" s="46"/>
      <c r="I593" s="46" t="str">
        <f>IFERROR(__xludf.DUMMYFUNCTION("""COMPUTED_VALUE"""),"Bảo trì")</f>
        <v>Bảo trì</v>
      </c>
      <c r="J593" s="46" t="str">
        <f>IFERROR(__xludf.DUMMYFUNCTION("""COMPUTED_VALUE"""),"Thay 01 pick tầng 50k")</f>
        <v>Thay 01 pick tầng 50k</v>
      </c>
      <c r="K593" s="46"/>
      <c r="L593" s="46"/>
      <c r="M593" s="46"/>
      <c r="N593" s="46"/>
      <c r="O593" s="46"/>
      <c r="P593" s="46" t="str">
        <f>IFERROR(__xludf.DUMMYFUNCTION("""COMPUTED_VALUE"""),"Máy atm có hiện tượng rất lạ,có gd rút tiền,máy chạy xong khay 500 và 200 bắt đầu rút đến hộp 100k thì máy ko rút nữa,đẩy tiền vào hộp loại,tiếp tục rút 1 tờ nữa để kt đg lên tiền.sau đó máy lại rút tiếp và trả khách,qua theo dõi thì thấy cứ 3gd là lại bị"&amp;" như vậy.đã đổi main khác nhưng vẫn lỗi thế.tiến hành đổi khay 50 xuống khay 100k máy đang rút bt và nhờ theo dõi thêm.đã load lại fw,cl xét răm b.")</f>
        <v>Máy atm có hiện tượng rất lạ,có gd rút tiền,máy chạy xong khay 500 và 200 bắt đầu rút đến hộp 100k thì máy ko rút nữa,đẩy tiền vào hộp loại,tiếp tục rút 1 tờ nữa để kt đg lên tiền.sau đó máy lại rút tiếp và trả khách,qua theo dõi thì thấy cứ 3gd là lại bị như vậy.đã đổi main khác nhưng vẫn lỗi thế.tiến hành đổi khay 50 xuống khay 100k máy đang rút bt và nhờ theo dõi thêm.đã load lại fw,cl xét răm b.</v>
      </c>
      <c r="Q593" s="46" t="str">
        <f>IFERROR(__xludf.DUMMYFUNCTION("""COMPUTED_VALUE"""),"Hoàn thành")</f>
        <v>Hoàn thành</v>
      </c>
      <c r="R593" s="46"/>
      <c r="S593" s="46"/>
      <c r="T593" s="46"/>
      <c r="U593" s="46"/>
      <c r="V593" s="46"/>
      <c r="W593" s="46"/>
      <c r="X593" s="46"/>
      <c r="Y593" s="46"/>
      <c r="Z593" s="46"/>
      <c r="AA593" s="46"/>
    </row>
    <row r="594">
      <c r="A594" s="55">
        <f>IFERROR(__xludf.DUMMYFUNCTION("""COMPUTED_VALUE"""),44354.747622696756)</f>
        <v>44354.74762</v>
      </c>
      <c r="B594" s="56">
        <f>IFERROR(__xludf.DUMMYFUNCTION("""COMPUTED_VALUE"""),44354.0)</f>
        <v>44354</v>
      </c>
      <c r="C594" s="59" t="str">
        <f t="shared" si="3"/>
        <v/>
      </c>
      <c r="D594" s="46" t="str">
        <f>IFERROR(__xludf.DUMMYFUNCTION("""COMPUTED_VALUE"""),"Tienvm")</f>
        <v>Tienvm</v>
      </c>
      <c r="E594" s="57" t="str">
        <f>IFERROR(__xludf.DUMMYFUNCTION("""COMPUTED_VALUE"""),"J821002769")</f>
        <v>J821002769</v>
      </c>
      <c r="F594" s="46" t="str">
        <f>IFERROR(__xludf.DUMMYFUNCTION("""COMPUTED_VALUE"""),"CT4 – KĐT Xa La")</f>
        <v>CT4 – KĐT Xa La</v>
      </c>
      <c r="G594" s="46" t="str">
        <f>IFERROR(__xludf.DUMMYFUNCTION("""COMPUTED_VALUE"""),"Lỗi 18, máy in hoá đơn không in được")</f>
        <v>Lỗi 18, máy in hoá đơn không in được</v>
      </c>
      <c r="H594" s="46"/>
      <c r="I594" s="46"/>
      <c r="J594" s="46" t="str">
        <f>IFERROR(__xludf.DUMMYFUNCTION("""COMPUTED_VALUE"""),"Vệ sinh cả 2 ex, kiểm tra toàn bộ ex và pre. Set jump clear lỗi. Máy in test thì ok nhưng giao dịch là k in được. Nguyên nhân do sensor đầu ra bị lỏng khi lắp vào vtri, phải kê kích thêm giấy đeer sensor không bị lỏng.")</f>
        <v>Vệ sinh cả 2 ex, kiểm tra toàn bộ ex và pre. Set jump clear lỗi. Máy in test thì ok nhưng giao dịch là k in được. Nguyên nhân do sensor đầu ra bị lỏng khi lắp vào vtri, phải kê kích thêm giấy đeer sensor không bị lỏng.</v>
      </c>
      <c r="K594" s="46"/>
      <c r="L594" s="46"/>
      <c r="M594" s="46"/>
      <c r="N594" s="46"/>
      <c r="O594" s="46"/>
      <c r="P594" s="46"/>
      <c r="Q594" s="46" t="str">
        <f>IFERROR(__xludf.DUMMYFUNCTION("""COMPUTED_VALUE"""),"Hoàn thành")</f>
        <v>Hoàn thành</v>
      </c>
      <c r="R594" s="46"/>
      <c r="S594" s="46"/>
      <c r="T594" s="46"/>
      <c r="U594" s="46"/>
      <c r="V594" s="46"/>
      <c r="W594" s="46"/>
      <c r="X594" s="46"/>
      <c r="Y594" s="46"/>
      <c r="Z594" s="46"/>
      <c r="AA594" s="46"/>
    </row>
    <row r="595">
      <c r="A595" s="55">
        <f>IFERROR(__xludf.DUMMYFUNCTION("""COMPUTED_VALUE"""),44354.98440543981)</f>
        <v>44354.98441</v>
      </c>
      <c r="B595" s="56">
        <f>IFERROR(__xludf.DUMMYFUNCTION("""COMPUTED_VALUE"""),44354.0)</f>
        <v>44354</v>
      </c>
      <c r="C595" s="59" t="str">
        <f t="shared" si="3"/>
        <v/>
      </c>
      <c r="D595" s="46" t="str">
        <f>IFERROR(__xludf.DUMMYFUNCTION("""COMPUTED_VALUE"""),"Bannt")</f>
        <v>Bannt</v>
      </c>
      <c r="E595" s="57" t="str">
        <f>IFERROR(__xludf.DUMMYFUNCTION("""COMPUTED_VALUE"""),"5310107039")</f>
        <v>5310107039</v>
      </c>
      <c r="F595" s="46" t="str">
        <f>IFERROR(__xludf.DUMMYFUNCTION("""COMPUTED_VALUE"""),"Số 96 đường Võ Nguyên Giáp, TT Phố Ràng, H. Bảo Yên, Lào Cai")</f>
        <v>Số 96 đường Võ Nguyên Giáp, TT Phố Ràng, H. Bảo Yên, Lào Cai</v>
      </c>
      <c r="G595" s="46" t="str">
        <f>IFERROR(__xludf.DUMMYFUNCTION("""COMPUTED_VALUE"""),"Bảo trì định kỳ")</f>
        <v>Bảo trì định kỳ</v>
      </c>
      <c r="H595" s="46"/>
      <c r="I595" s="46" t="str">
        <f>IFERROR(__xludf.DUMMYFUNCTION("""COMPUTED_VALUE"""),"Bảo trì")</f>
        <v>Bảo trì</v>
      </c>
      <c r="J595" s="46"/>
      <c r="K595" s="46"/>
      <c r="L595" s="46"/>
      <c r="M595" s="46"/>
      <c r="N595" s="46"/>
      <c r="O595" s="46"/>
      <c r="P595" s="46"/>
      <c r="Q595" s="46" t="str">
        <f>IFERROR(__xludf.DUMMYFUNCTION("""COMPUTED_VALUE"""),"Hoàn thành")</f>
        <v>Hoàn thành</v>
      </c>
      <c r="R595" s="46"/>
      <c r="S595" s="46"/>
      <c r="T595" s="46"/>
      <c r="U595" s="46"/>
      <c r="V595" s="46"/>
      <c r="W595" s="46"/>
      <c r="X595" s="46"/>
      <c r="Y595" s="46"/>
      <c r="Z595" s="46"/>
      <c r="AA595" s="46"/>
    </row>
    <row r="596">
      <c r="A596" s="46"/>
      <c r="B596" s="46"/>
      <c r="C596" s="59" t="str">
        <f t="shared" si="3"/>
        <v/>
      </c>
      <c r="D596" s="46"/>
      <c r="E596" s="57" t="str">
        <f>IFERROR(__xludf.DUMMYFUNCTION("""COMPUTED_VALUE"""),"")</f>
        <v/>
      </c>
      <c r="F596" s="46" t="str">
        <f>IFERROR(__xludf.DUMMYFUNCTION("""COMPUTED_VALUE"""),"")</f>
        <v/>
      </c>
      <c r="G596" s="46"/>
      <c r="H596" s="46"/>
      <c r="I596" s="46"/>
      <c r="J596" s="46"/>
      <c r="K596" s="46"/>
      <c r="L596" s="46"/>
      <c r="M596" s="46"/>
      <c r="N596" s="46"/>
      <c r="O596" s="46"/>
      <c r="P596" s="46"/>
      <c r="Q596" s="46"/>
      <c r="R596" s="46"/>
      <c r="S596" s="46"/>
      <c r="T596" s="46"/>
      <c r="U596" s="46"/>
      <c r="V596" s="46"/>
      <c r="W596" s="46"/>
      <c r="X596" s="46"/>
      <c r="Y596" s="46"/>
      <c r="Z596" s="46"/>
      <c r="AA596" s="46"/>
    </row>
    <row r="597">
      <c r="A597" s="46"/>
      <c r="B597" s="46"/>
      <c r="C597" s="59" t="str">
        <f t="shared" si="3"/>
        <v/>
      </c>
      <c r="D597" s="46"/>
      <c r="E597" s="57" t="str">
        <f>IFERROR(__xludf.DUMMYFUNCTION("""COMPUTED_VALUE"""),"")</f>
        <v/>
      </c>
      <c r="F597" s="46" t="str">
        <f>IFERROR(__xludf.DUMMYFUNCTION("""COMPUTED_VALUE"""),"")</f>
        <v/>
      </c>
      <c r="G597" s="46"/>
      <c r="H597" s="46"/>
      <c r="I597" s="46"/>
      <c r="J597" s="46"/>
      <c r="K597" s="46"/>
      <c r="L597" s="46"/>
      <c r="M597" s="46"/>
      <c r="N597" s="46"/>
      <c r="O597" s="46"/>
      <c r="P597" s="46"/>
      <c r="Q597" s="46"/>
      <c r="R597" s="46"/>
      <c r="S597" s="46"/>
      <c r="T597" s="46"/>
      <c r="U597" s="46"/>
      <c r="V597" s="46"/>
      <c r="W597" s="46"/>
      <c r="X597" s="46"/>
      <c r="Y597" s="46"/>
      <c r="Z597" s="46"/>
      <c r="AA597" s="46"/>
    </row>
    <row r="598">
      <c r="A598" s="46"/>
      <c r="B598" s="46"/>
      <c r="C598" s="59" t="str">
        <f t="shared" si="3"/>
        <v/>
      </c>
      <c r="D598" s="46"/>
      <c r="E598" s="57" t="str">
        <f>IFERROR(__xludf.DUMMYFUNCTION("""COMPUTED_VALUE"""),"")</f>
        <v/>
      </c>
      <c r="F598" s="46" t="str">
        <f>IFERROR(__xludf.DUMMYFUNCTION("""COMPUTED_VALUE"""),"")</f>
        <v/>
      </c>
      <c r="G598" s="46"/>
      <c r="H598" s="46"/>
      <c r="I598" s="46"/>
      <c r="J598" s="46"/>
      <c r="K598" s="46"/>
      <c r="L598" s="46"/>
      <c r="M598" s="46"/>
      <c r="N598" s="46"/>
      <c r="O598" s="46"/>
      <c r="P598" s="46"/>
      <c r="Q598" s="46"/>
      <c r="R598" s="46"/>
      <c r="S598" s="46"/>
      <c r="T598" s="46"/>
      <c r="U598" s="46"/>
      <c r="V598" s="46"/>
      <c r="W598" s="46"/>
      <c r="X598" s="46"/>
      <c r="Y598" s="46"/>
      <c r="Z598" s="46"/>
      <c r="AA598" s="46"/>
    </row>
    <row r="599">
      <c r="A599" s="46"/>
      <c r="B599" s="46"/>
      <c r="C599" s="59" t="str">
        <f t="shared" si="3"/>
        <v/>
      </c>
      <c r="D599" s="46"/>
      <c r="E599" s="57" t="str">
        <f>IFERROR(__xludf.DUMMYFUNCTION("""COMPUTED_VALUE"""),"")</f>
        <v/>
      </c>
      <c r="F599" s="46" t="str">
        <f>IFERROR(__xludf.DUMMYFUNCTION("""COMPUTED_VALUE"""),"")</f>
        <v/>
      </c>
      <c r="G599" s="46"/>
      <c r="H599" s="46"/>
      <c r="I599" s="46"/>
      <c r="J599" s="46"/>
      <c r="K599" s="46"/>
      <c r="L599" s="46"/>
      <c r="M599" s="46"/>
      <c r="N599" s="46"/>
      <c r="O599" s="46"/>
      <c r="P599" s="46"/>
      <c r="Q599" s="46"/>
      <c r="R599" s="46"/>
      <c r="S599" s="46"/>
      <c r="T599" s="46"/>
      <c r="U599" s="46"/>
      <c r="V599" s="46"/>
      <c r="W599" s="46"/>
      <c r="X599" s="46"/>
      <c r="Y599" s="46"/>
      <c r="Z599" s="46"/>
      <c r="AA599" s="46"/>
    </row>
    <row r="600">
      <c r="A600" s="46"/>
      <c r="B600" s="46"/>
      <c r="C600" s="59" t="str">
        <f t="shared" si="3"/>
        <v/>
      </c>
      <c r="D600" s="46"/>
      <c r="E600" s="57" t="str">
        <f>IFERROR(__xludf.DUMMYFUNCTION("""COMPUTED_VALUE"""),"")</f>
        <v/>
      </c>
      <c r="F600" s="46" t="str">
        <f>IFERROR(__xludf.DUMMYFUNCTION("""COMPUTED_VALUE"""),"")</f>
        <v/>
      </c>
      <c r="G600" s="46"/>
      <c r="H600" s="46"/>
      <c r="I600" s="46"/>
      <c r="J600" s="46"/>
      <c r="K600" s="46"/>
      <c r="L600" s="46"/>
      <c r="M600" s="46"/>
      <c r="N600" s="46"/>
      <c r="O600" s="46"/>
      <c r="P600" s="46"/>
      <c r="Q600" s="46"/>
      <c r="R600" s="46"/>
      <c r="S600" s="46"/>
      <c r="T600" s="46"/>
      <c r="U600" s="46"/>
      <c r="V600" s="46"/>
      <c r="W600" s="46"/>
      <c r="X600" s="46"/>
      <c r="Y600" s="46"/>
      <c r="Z600" s="46"/>
      <c r="AA600" s="46"/>
    </row>
    <row r="601">
      <c r="A601" s="46"/>
      <c r="B601" s="46"/>
      <c r="C601" s="59" t="str">
        <f t="shared" si="3"/>
        <v/>
      </c>
      <c r="D601" s="46"/>
      <c r="E601" s="57" t="str">
        <f>IFERROR(__xludf.DUMMYFUNCTION("""COMPUTED_VALUE"""),"")</f>
        <v/>
      </c>
      <c r="F601" s="46" t="str">
        <f>IFERROR(__xludf.DUMMYFUNCTION("""COMPUTED_VALUE"""),"")</f>
        <v/>
      </c>
      <c r="G601" s="46"/>
      <c r="H601" s="46"/>
      <c r="I601" s="46"/>
      <c r="J601" s="46"/>
      <c r="K601" s="46"/>
      <c r="L601" s="46"/>
      <c r="M601" s="46"/>
      <c r="N601" s="46"/>
      <c r="O601" s="46"/>
      <c r="P601" s="46"/>
      <c r="Q601" s="46"/>
      <c r="R601" s="46"/>
      <c r="S601" s="46"/>
      <c r="T601" s="46"/>
      <c r="U601" s="46"/>
      <c r="V601" s="46"/>
      <c r="W601" s="46"/>
      <c r="X601" s="46"/>
      <c r="Y601" s="46"/>
      <c r="Z601" s="46"/>
      <c r="AA601" s="46"/>
    </row>
    <row r="602">
      <c r="A602" s="46"/>
      <c r="B602" s="46"/>
      <c r="C602" s="59" t="str">
        <f t="shared" si="3"/>
        <v/>
      </c>
      <c r="D602" s="46"/>
      <c r="E602" s="57" t="str">
        <f>IFERROR(__xludf.DUMMYFUNCTION("""COMPUTED_VALUE"""),"")</f>
        <v/>
      </c>
      <c r="F602" s="46" t="str">
        <f>IFERROR(__xludf.DUMMYFUNCTION("""COMPUTED_VALUE"""),"")</f>
        <v/>
      </c>
      <c r="G602" s="46"/>
      <c r="H602" s="46"/>
      <c r="I602" s="46"/>
      <c r="J602" s="46"/>
      <c r="K602" s="46"/>
      <c r="L602" s="46"/>
      <c r="M602" s="46"/>
      <c r="N602" s="46"/>
      <c r="O602" s="46"/>
      <c r="P602" s="46"/>
      <c r="Q602" s="46"/>
      <c r="R602" s="46"/>
      <c r="S602" s="46"/>
      <c r="T602" s="46"/>
      <c r="U602" s="46"/>
      <c r="V602" s="46"/>
      <c r="W602" s="46"/>
      <c r="X602" s="46"/>
      <c r="Y602" s="46"/>
      <c r="Z602" s="46"/>
      <c r="AA602" s="46"/>
    </row>
    <row r="603">
      <c r="A603" s="46"/>
      <c r="B603" s="46"/>
      <c r="C603" s="59" t="str">
        <f t="shared" si="3"/>
        <v/>
      </c>
      <c r="D603" s="46"/>
      <c r="E603" s="57" t="str">
        <f>IFERROR(__xludf.DUMMYFUNCTION("""COMPUTED_VALUE"""),"")</f>
        <v/>
      </c>
      <c r="F603" s="46" t="str">
        <f>IFERROR(__xludf.DUMMYFUNCTION("""COMPUTED_VALUE"""),"")</f>
        <v/>
      </c>
      <c r="G603" s="46"/>
      <c r="H603" s="46"/>
      <c r="I603" s="46"/>
      <c r="J603" s="46"/>
      <c r="K603" s="46"/>
      <c r="L603" s="46"/>
      <c r="M603" s="46"/>
      <c r="N603" s="46"/>
      <c r="O603" s="46"/>
      <c r="P603" s="46"/>
      <c r="Q603" s="46"/>
      <c r="R603" s="46"/>
      <c r="S603" s="46"/>
      <c r="T603" s="46"/>
      <c r="U603" s="46"/>
      <c r="V603" s="46"/>
      <c r="W603" s="46"/>
      <c r="X603" s="46"/>
      <c r="Y603" s="46"/>
      <c r="Z603" s="46"/>
      <c r="AA603" s="46"/>
    </row>
    <row r="604">
      <c r="A604" s="46"/>
      <c r="B604" s="46"/>
      <c r="C604" s="59" t="str">
        <f t="shared" si="3"/>
        <v/>
      </c>
      <c r="D604" s="46"/>
      <c r="E604" s="57" t="str">
        <f>IFERROR(__xludf.DUMMYFUNCTION("""COMPUTED_VALUE"""),"")</f>
        <v/>
      </c>
      <c r="F604" s="46" t="str">
        <f>IFERROR(__xludf.DUMMYFUNCTION("""COMPUTED_VALUE"""),"")</f>
        <v/>
      </c>
      <c r="G604" s="46"/>
      <c r="H604" s="46"/>
      <c r="I604" s="46"/>
      <c r="J604" s="46"/>
      <c r="K604" s="46"/>
      <c r="L604" s="46"/>
      <c r="M604" s="46"/>
      <c r="N604" s="46"/>
      <c r="O604" s="46"/>
      <c r="P604" s="46"/>
      <c r="Q604" s="46"/>
      <c r="R604" s="46"/>
      <c r="S604" s="46"/>
      <c r="T604" s="46"/>
      <c r="U604" s="46"/>
      <c r="V604" s="46"/>
      <c r="W604" s="46"/>
      <c r="X604" s="46"/>
      <c r="Y604" s="46"/>
      <c r="Z604" s="46"/>
      <c r="AA604" s="46"/>
    </row>
    <row r="605">
      <c r="A605" s="46"/>
      <c r="B605" s="46"/>
      <c r="C605" s="59" t="str">
        <f t="shared" si="3"/>
        <v/>
      </c>
      <c r="D605" s="46"/>
      <c r="E605" s="57" t="str">
        <f>IFERROR(__xludf.DUMMYFUNCTION("""COMPUTED_VALUE"""),"")</f>
        <v/>
      </c>
      <c r="F605" s="46" t="str">
        <f>IFERROR(__xludf.DUMMYFUNCTION("""COMPUTED_VALUE"""),"")</f>
        <v/>
      </c>
      <c r="G605" s="46"/>
      <c r="H605" s="46"/>
      <c r="I605" s="46"/>
      <c r="J605" s="46"/>
      <c r="K605" s="46"/>
      <c r="L605" s="46"/>
      <c r="M605" s="46"/>
      <c r="N605" s="46"/>
      <c r="O605" s="46"/>
      <c r="P605" s="46"/>
      <c r="Q605" s="46"/>
      <c r="R605" s="46"/>
      <c r="S605" s="46"/>
      <c r="T605" s="46"/>
      <c r="U605" s="46"/>
      <c r="V605" s="46"/>
      <c r="W605" s="46"/>
      <c r="X605" s="46"/>
      <c r="Y605" s="46"/>
      <c r="Z605" s="46"/>
      <c r="AA605" s="46"/>
    </row>
    <row r="606">
      <c r="A606" s="46"/>
      <c r="B606" s="46"/>
      <c r="C606" s="59" t="str">
        <f t="shared" si="3"/>
        <v/>
      </c>
      <c r="D606" s="46"/>
      <c r="E606" s="57" t="str">
        <f>IFERROR(__xludf.DUMMYFUNCTION("""COMPUTED_VALUE"""),"")</f>
        <v/>
      </c>
      <c r="F606" s="46" t="str">
        <f>IFERROR(__xludf.DUMMYFUNCTION("""COMPUTED_VALUE"""),"")</f>
        <v/>
      </c>
      <c r="G606" s="46"/>
      <c r="H606" s="46"/>
      <c r="I606" s="46"/>
      <c r="J606" s="46"/>
      <c r="K606" s="46"/>
      <c r="L606" s="46"/>
      <c r="M606" s="46"/>
      <c r="N606" s="46"/>
      <c r="O606" s="46"/>
      <c r="P606" s="46"/>
      <c r="Q606" s="46"/>
      <c r="R606" s="46"/>
      <c r="S606" s="46"/>
      <c r="T606" s="46"/>
      <c r="U606" s="46"/>
      <c r="V606" s="46"/>
      <c r="W606" s="46"/>
      <c r="X606" s="46"/>
      <c r="Y606" s="46"/>
      <c r="Z606" s="46"/>
      <c r="AA606" s="46"/>
    </row>
    <row r="607">
      <c r="A607" s="46"/>
      <c r="B607" s="46"/>
      <c r="C607" s="59" t="str">
        <f t="shared" si="3"/>
        <v/>
      </c>
      <c r="D607" s="46"/>
      <c r="E607" s="57" t="str">
        <f>IFERROR(__xludf.DUMMYFUNCTION("""COMPUTED_VALUE"""),"")</f>
        <v/>
      </c>
      <c r="F607" s="46" t="str">
        <f>IFERROR(__xludf.DUMMYFUNCTION("""COMPUTED_VALUE"""),"")</f>
        <v/>
      </c>
      <c r="G607" s="46"/>
      <c r="H607" s="46"/>
      <c r="I607" s="46"/>
      <c r="J607" s="46"/>
      <c r="K607" s="46"/>
      <c r="L607" s="46"/>
      <c r="M607" s="46"/>
      <c r="N607" s="46"/>
      <c r="O607" s="46"/>
      <c r="P607" s="46"/>
      <c r="Q607" s="46"/>
      <c r="R607" s="46"/>
      <c r="S607" s="46"/>
      <c r="T607" s="46"/>
      <c r="U607" s="46"/>
      <c r="V607" s="46"/>
      <c r="W607" s="46"/>
      <c r="X607" s="46"/>
      <c r="Y607" s="46"/>
      <c r="Z607" s="46"/>
      <c r="AA607" s="46"/>
    </row>
    <row r="608">
      <c r="A608" s="46"/>
      <c r="B608" s="46"/>
      <c r="C608" s="59" t="str">
        <f t="shared" si="3"/>
        <v/>
      </c>
      <c r="D608" s="46"/>
      <c r="E608" s="57" t="str">
        <f>IFERROR(__xludf.DUMMYFUNCTION("""COMPUTED_VALUE"""),"")</f>
        <v/>
      </c>
      <c r="F608" s="46" t="str">
        <f>IFERROR(__xludf.DUMMYFUNCTION("""COMPUTED_VALUE"""),"")</f>
        <v/>
      </c>
      <c r="G608" s="46"/>
      <c r="H608" s="46"/>
      <c r="I608" s="46"/>
      <c r="J608" s="46"/>
      <c r="K608" s="46"/>
      <c r="L608" s="46"/>
      <c r="M608" s="46"/>
      <c r="N608" s="46"/>
      <c r="O608" s="46"/>
      <c r="P608" s="46"/>
      <c r="Q608" s="46"/>
      <c r="R608" s="46"/>
      <c r="S608" s="46"/>
      <c r="T608" s="46"/>
      <c r="U608" s="46"/>
      <c r="V608" s="46"/>
      <c r="W608" s="46"/>
      <c r="X608" s="46"/>
      <c r="Y608" s="46"/>
      <c r="Z608" s="46"/>
      <c r="AA608" s="46"/>
    </row>
    <row r="609">
      <c r="A609" s="46"/>
      <c r="B609" s="46"/>
      <c r="C609" s="59" t="str">
        <f t="shared" si="3"/>
        <v/>
      </c>
      <c r="D609" s="46"/>
      <c r="E609" s="57" t="str">
        <f>IFERROR(__xludf.DUMMYFUNCTION("""COMPUTED_VALUE"""),"")</f>
        <v/>
      </c>
      <c r="F609" s="46" t="str">
        <f>IFERROR(__xludf.DUMMYFUNCTION("""COMPUTED_VALUE"""),"")</f>
        <v/>
      </c>
      <c r="G609" s="46"/>
      <c r="H609" s="46"/>
      <c r="I609" s="46"/>
      <c r="J609" s="46"/>
      <c r="K609" s="46"/>
      <c r="L609" s="46"/>
      <c r="M609" s="46"/>
      <c r="N609" s="46"/>
      <c r="O609" s="46"/>
      <c r="P609" s="46"/>
      <c r="Q609" s="46"/>
      <c r="R609" s="46"/>
      <c r="S609" s="46"/>
      <c r="T609" s="46"/>
      <c r="U609" s="46"/>
      <c r="V609" s="46"/>
      <c r="W609" s="46"/>
      <c r="X609" s="46"/>
      <c r="Y609" s="46"/>
      <c r="Z609" s="46"/>
      <c r="AA609" s="46"/>
    </row>
    <row r="610">
      <c r="A610" s="46"/>
      <c r="B610" s="46"/>
      <c r="C610" s="59" t="str">
        <f t="shared" si="3"/>
        <v/>
      </c>
      <c r="D610" s="46"/>
      <c r="E610" s="57" t="str">
        <f>IFERROR(__xludf.DUMMYFUNCTION("""COMPUTED_VALUE"""),"")</f>
        <v/>
      </c>
      <c r="F610" s="46" t="str">
        <f>IFERROR(__xludf.DUMMYFUNCTION("""COMPUTED_VALUE"""),"")</f>
        <v/>
      </c>
      <c r="G610" s="46"/>
      <c r="H610" s="46"/>
      <c r="I610" s="46"/>
      <c r="J610" s="46"/>
      <c r="K610" s="46"/>
      <c r="L610" s="46"/>
      <c r="M610" s="46"/>
      <c r="N610" s="46"/>
      <c r="O610" s="46"/>
      <c r="P610" s="46"/>
      <c r="Q610" s="46"/>
      <c r="R610" s="46"/>
      <c r="S610" s="46"/>
      <c r="T610" s="46"/>
      <c r="U610" s="46"/>
      <c r="V610" s="46"/>
      <c r="W610" s="46"/>
      <c r="X610" s="46"/>
      <c r="Y610" s="46"/>
      <c r="Z610" s="46"/>
      <c r="AA610" s="46"/>
    </row>
    <row r="611">
      <c r="A611" s="46"/>
      <c r="B611" s="46"/>
      <c r="C611" s="59" t="str">
        <f t="shared" si="3"/>
        <v/>
      </c>
      <c r="D611" s="46"/>
      <c r="E611" s="57" t="str">
        <f>IFERROR(__xludf.DUMMYFUNCTION("""COMPUTED_VALUE"""),"")</f>
        <v/>
      </c>
      <c r="F611" s="46" t="str">
        <f>IFERROR(__xludf.DUMMYFUNCTION("""COMPUTED_VALUE"""),"")</f>
        <v/>
      </c>
      <c r="G611" s="46"/>
      <c r="H611" s="46"/>
      <c r="I611" s="46"/>
      <c r="J611" s="46"/>
      <c r="K611" s="46"/>
      <c r="L611" s="46"/>
      <c r="M611" s="46"/>
      <c r="N611" s="46"/>
      <c r="O611" s="46"/>
      <c r="P611" s="46"/>
      <c r="Q611" s="46"/>
      <c r="R611" s="46"/>
      <c r="S611" s="46"/>
      <c r="T611" s="46"/>
      <c r="U611" s="46"/>
      <c r="V611" s="46"/>
      <c r="W611" s="46"/>
      <c r="X611" s="46"/>
      <c r="Y611" s="46"/>
      <c r="Z611" s="46"/>
      <c r="AA611" s="46"/>
    </row>
    <row r="612">
      <c r="A612" s="46"/>
      <c r="B612" s="46"/>
      <c r="C612" s="59" t="str">
        <f t="shared" si="3"/>
        <v/>
      </c>
      <c r="D612" s="46"/>
      <c r="E612" s="57" t="str">
        <f>IFERROR(__xludf.DUMMYFUNCTION("""COMPUTED_VALUE"""),"")</f>
        <v/>
      </c>
      <c r="F612" s="46" t="str">
        <f>IFERROR(__xludf.DUMMYFUNCTION("""COMPUTED_VALUE"""),"")</f>
        <v/>
      </c>
      <c r="G612" s="46"/>
      <c r="H612" s="46"/>
      <c r="I612" s="46"/>
      <c r="J612" s="46"/>
      <c r="K612" s="46"/>
      <c r="L612" s="46"/>
      <c r="M612" s="46"/>
      <c r="N612" s="46"/>
      <c r="O612" s="46"/>
      <c r="P612" s="46"/>
      <c r="Q612" s="46"/>
      <c r="R612" s="46"/>
      <c r="S612" s="46"/>
      <c r="T612" s="46"/>
      <c r="U612" s="46"/>
      <c r="V612" s="46"/>
      <c r="W612" s="46"/>
      <c r="X612" s="46"/>
      <c r="Y612" s="46"/>
      <c r="Z612" s="46"/>
      <c r="AA612" s="46"/>
    </row>
    <row r="613">
      <c r="A613" s="46"/>
      <c r="B613" s="46"/>
      <c r="C613" s="59" t="str">
        <f t="shared" si="3"/>
        <v/>
      </c>
      <c r="D613" s="46"/>
      <c r="E613" s="57" t="str">
        <f>IFERROR(__xludf.DUMMYFUNCTION("""COMPUTED_VALUE"""),"")</f>
        <v/>
      </c>
      <c r="F613" s="46" t="str">
        <f>IFERROR(__xludf.DUMMYFUNCTION("""COMPUTED_VALUE"""),"")</f>
        <v/>
      </c>
      <c r="G613" s="46"/>
      <c r="H613" s="46"/>
      <c r="I613" s="46"/>
      <c r="J613" s="46"/>
      <c r="K613" s="46"/>
      <c r="L613" s="46"/>
      <c r="M613" s="46"/>
      <c r="N613" s="46"/>
      <c r="O613" s="46"/>
      <c r="P613" s="46"/>
      <c r="Q613" s="46"/>
      <c r="R613" s="46"/>
      <c r="S613" s="46"/>
      <c r="T613" s="46"/>
      <c r="U613" s="46"/>
      <c r="V613" s="46"/>
      <c r="W613" s="46"/>
      <c r="X613" s="46"/>
      <c r="Y613" s="46"/>
      <c r="Z613" s="46"/>
      <c r="AA613" s="46"/>
    </row>
    <row r="614">
      <c r="A614" s="46"/>
      <c r="B614" s="46"/>
      <c r="C614" s="59" t="str">
        <f t="shared" si="3"/>
        <v/>
      </c>
      <c r="D614" s="46"/>
      <c r="E614" s="57" t="str">
        <f>IFERROR(__xludf.DUMMYFUNCTION("""COMPUTED_VALUE"""),"")</f>
        <v/>
      </c>
      <c r="F614" s="46" t="str">
        <f>IFERROR(__xludf.DUMMYFUNCTION("""COMPUTED_VALUE"""),"")</f>
        <v/>
      </c>
      <c r="G614" s="46"/>
      <c r="H614" s="46"/>
      <c r="I614" s="46"/>
      <c r="J614" s="46"/>
      <c r="K614" s="46"/>
      <c r="L614" s="46"/>
      <c r="M614" s="46"/>
      <c r="N614" s="46"/>
      <c r="O614" s="46"/>
      <c r="P614" s="46"/>
      <c r="Q614" s="46"/>
      <c r="R614" s="46"/>
      <c r="S614" s="46"/>
      <c r="T614" s="46"/>
      <c r="U614" s="46"/>
      <c r="V614" s="46"/>
      <c r="W614" s="46"/>
      <c r="X614" s="46"/>
      <c r="Y614" s="46"/>
      <c r="Z614" s="46"/>
      <c r="AA614" s="46"/>
    </row>
    <row r="615">
      <c r="A615" s="46"/>
      <c r="B615" s="46"/>
      <c r="C615" s="59" t="str">
        <f t="shared" si="3"/>
        <v/>
      </c>
      <c r="D615" s="46"/>
      <c r="E615" s="57" t="str">
        <f>IFERROR(__xludf.DUMMYFUNCTION("""COMPUTED_VALUE"""),"")</f>
        <v/>
      </c>
      <c r="F615" s="46" t="str">
        <f>IFERROR(__xludf.DUMMYFUNCTION("""COMPUTED_VALUE"""),"")</f>
        <v/>
      </c>
      <c r="G615" s="46"/>
      <c r="H615" s="46"/>
      <c r="I615" s="46"/>
      <c r="J615" s="46"/>
      <c r="K615" s="46"/>
      <c r="L615" s="46"/>
      <c r="M615" s="46"/>
      <c r="N615" s="46"/>
      <c r="O615" s="46"/>
      <c r="P615" s="46"/>
      <c r="Q615" s="46"/>
      <c r="R615" s="46"/>
      <c r="S615" s="46"/>
      <c r="T615" s="46"/>
      <c r="U615" s="46"/>
      <c r="V615" s="46"/>
      <c r="W615" s="46"/>
      <c r="X615" s="46"/>
      <c r="Y615" s="46"/>
      <c r="Z615" s="46"/>
      <c r="AA615" s="46"/>
    </row>
    <row r="616">
      <c r="A616" s="46"/>
      <c r="B616" s="46"/>
      <c r="C616" s="59" t="str">
        <f t="shared" si="3"/>
        <v/>
      </c>
      <c r="D616" s="46"/>
      <c r="E616" s="57" t="str">
        <f>IFERROR(__xludf.DUMMYFUNCTION("""COMPUTED_VALUE"""),"")</f>
        <v/>
      </c>
      <c r="F616" s="46" t="str">
        <f>IFERROR(__xludf.DUMMYFUNCTION("""COMPUTED_VALUE"""),"")</f>
        <v/>
      </c>
      <c r="G616" s="46"/>
      <c r="H616" s="46"/>
      <c r="I616" s="46"/>
      <c r="J616" s="46"/>
      <c r="K616" s="46"/>
      <c r="L616" s="46"/>
      <c r="M616" s="46"/>
      <c r="N616" s="46"/>
      <c r="O616" s="46"/>
      <c r="P616" s="46"/>
      <c r="Q616" s="46"/>
      <c r="R616" s="46"/>
      <c r="S616" s="46"/>
      <c r="T616" s="46"/>
      <c r="U616" s="46"/>
      <c r="V616" s="46"/>
      <c r="W616" s="46"/>
      <c r="X616" s="46"/>
      <c r="Y616" s="46"/>
      <c r="Z616" s="46"/>
      <c r="AA616" s="46"/>
    </row>
    <row r="617">
      <c r="A617" s="46"/>
      <c r="B617" s="46"/>
      <c r="C617" s="59" t="str">
        <f t="shared" si="3"/>
        <v/>
      </c>
      <c r="D617" s="46"/>
      <c r="E617" s="57" t="str">
        <f>IFERROR(__xludf.DUMMYFUNCTION("""COMPUTED_VALUE"""),"")</f>
        <v/>
      </c>
      <c r="F617" s="46" t="str">
        <f>IFERROR(__xludf.DUMMYFUNCTION("""COMPUTED_VALUE"""),"")</f>
        <v/>
      </c>
      <c r="G617" s="46"/>
      <c r="H617" s="46"/>
      <c r="I617" s="46"/>
      <c r="J617" s="46"/>
      <c r="K617" s="46"/>
      <c r="L617" s="46"/>
      <c r="M617" s="46"/>
      <c r="N617" s="46"/>
      <c r="O617" s="46"/>
      <c r="P617" s="46"/>
      <c r="Q617" s="46"/>
      <c r="R617" s="46"/>
      <c r="S617" s="46"/>
      <c r="T617" s="46"/>
      <c r="U617" s="46"/>
      <c r="V617" s="46"/>
      <c r="W617" s="46"/>
      <c r="X617" s="46"/>
      <c r="Y617" s="46"/>
      <c r="Z617" s="46"/>
      <c r="AA617" s="46"/>
    </row>
    <row r="618">
      <c r="A618" s="46"/>
      <c r="B618" s="46"/>
      <c r="C618" s="59" t="str">
        <f t="shared" si="3"/>
        <v/>
      </c>
      <c r="D618" s="46"/>
      <c r="E618" s="57" t="str">
        <f>IFERROR(__xludf.DUMMYFUNCTION("""COMPUTED_VALUE"""),"")</f>
        <v/>
      </c>
      <c r="F618" s="46" t="str">
        <f>IFERROR(__xludf.DUMMYFUNCTION("""COMPUTED_VALUE"""),"")</f>
        <v/>
      </c>
      <c r="G618" s="46"/>
      <c r="H618" s="46"/>
      <c r="I618" s="46"/>
      <c r="J618" s="46"/>
      <c r="K618" s="46"/>
      <c r="L618" s="46"/>
      <c r="M618" s="46"/>
      <c r="N618" s="46"/>
      <c r="O618" s="46"/>
      <c r="P618" s="46"/>
      <c r="Q618" s="46"/>
      <c r="R618" s="46"/>
      <c r="S618" s="46"/>
      <c r="T618" s="46"/>
      <c r="U618" s="46"/>
      <c r="V618" s="46"/>
      <c r="W618" s="46"/>
      <c r="X618" s="46"/>
      <c r="Y618" s="46"/>
      <c r="Z618" s="46"/>
      <c r="AA618" s="46"/>
    </row>
    <row r="619">
      <c r="A619" s="46"/>
      <c r="B619" s="46"/>
      <c r="C619" s="59" t="str">
        <f t="shared" si="3"/>
        <v/>
      </c>
      <c r="D619" s="46"/>
      <c r="E619" s="57" t="str">
        <f>IFERROR(__xludf.DUMMYFUNCTION("""COMPUTED_VALUE"""),"")</f>
        <v/>
      </c>
      <c r="F619" s="46" t="str">
        <f>IFERROR(__xludf.DUMMYFUNCTION("""COMPUTED_VALUE"""),"")</f>
        <v/>
      </c>
      <c r="G619" s="46"/>
      <c r="H619" s="46"/>
      <c r="I619" s="46"/>
      <c r="J619" s="46"/>
      <c r="K619" s="46"/>
      <c r="L619" s="46"/>
      <c r="M619" s="46"/>
      <c r="N619" s="46"/>
      <c r="O619" s="46"/>
      <c r="P619" s="46"/>
      <c r="Q619" s="46"/>
      <c r="R619" s="46"/>
      <c r="S619" s="46"/>
      <c r="T619" s="46"/>
      <c r="U619" s="46"/>
      <c r="V619" s="46"/>
      <c r="W619" s="46"/>
      <c r="X619" s="46"/>
      <c r="Y619" s="46"/>
      <c r="Z619" s="46"/>
      <c r="AA619" s="46"/>
    </row>
    <row r="620">
      <c r="A620" s="46"/>
      <c r="B620" s="46"/>
      <c r="C620" s="59" t="str">
        <f t="shared" si="3"/>
        <v/>
      </c>
      <c r="D620" s="46"/>
      <c r="E620" s="57" t="str">
        <f>IFERROR(__xludf.DUMMYFUNCTION("""COMPUTED_VALUE"""),"")</f>
        <v/>
      </c>
      <c r="F620" s="46" t="str">
        <f>IFERROR(__xludf.DUMMYFUNCTION("""COMPUTED_VALUE"""),"")</f>
        <v/>
      </c>
      <c r="G620" s="46"/>
      <c r="H620" s="46"/>
      <c r="I620" s="46"/>
      <c r="J620" s="46"/>
      <c r="K620" s="46"/>
      <c r="L620" s="46"/>
      <c r="M620" s="46"/>
      <c r="N620" s="46"/>
      <c r="O620" s="46"/>
      <c r="P620" s="46"/>
      <c r="Q620" s="46"/>
      <c r="R620" s="46"/>
      <c r="S620" s="46"/>
      <c r="T620" s="46"/>
      <c r="U620" s="46"/>
      <c r="V620" s="46"/>
      <c r="W620" s="46"/>
      <c r="X620" s="46"/>
      <c r="Y620" s="46"/>
      <c r="Z620" s="46"/>
      <c r="AA620" s="46"/>
    </row>
    <row r="621">
      <c r="A621" s="46"/>
      <c r="B621" s="46"/>
      <c r="C621" s="59" t="str">
        <f t="shared" si="3"/>
        <v/>
      </c>
      <c r="D621" s="46"/>
      <c r="E621" s="57" t="str">
        <f>IFERROR(__xludf.DUMMYFUNCTION("""COMPUTED_VALUE"""),"")</f>
        <v/>
      </c>
      <c r="F621" s="46" t="str">
        <f>IFERROR(__xludf.DUMMYFUNCTION("""COMPUTED_VALUE"""),"")</f>
        <v/>
      </c>
      <c r="G621" s="46"/>
      <c r="H621" s="46"/>
      <c r="I621" s="46"/>
      <c r="J621" s="46"/>
      <c r="K621" s="46"/>
      <c r="L621" s="46"/>
      <c r="M621" s="46"/>
      <c r="N621" s="46"/>
      <c r="O621" s="46"/>
      <c r="P621" s="46"/>
      <c r="Q621" s="46"/>
      <c r="R621" s="46"/>
      <c r="S621" s="46"/>
      <c r="T621" s="46"/>
      <c r="U621" s="46"/>
      <c r="V621" s="46"/>
      <c r="W621" s="46"/>
      <c r="X621" s="46"/>
      <c r="Y621" s="46"/>
      <c r="Z621" s="46"/>
      <c r="AA621" s="46"/>
    </row>
    <row r="622">
      <c r="A622" s="46"/>
      <c r="B622" s="46"/>
      <c r="C622" s="59" t="str">
        <f t="shared" si="3"/>
        <v/>
      </c>
      <c r="D622" s="46"/>
      <c r="E622" s="57" t="str">
        <f>IFERROR(__xludf.DUMMYFUNCTION("""COMPUTED_VALUE"""),"")</f>
        <v/>
      </c>
      <c r="F622" s="46" t="str">
        <f>IFERROR(__xludf.DUMMYFUNCTION("""COMPUTED_VALUE"""),"")</f>
        <v/>
      </c>
      <c r="G622" s="46"/>
      <c r="H622" s="46"/>
      <c r="I622" s="46"/>
      <c r="J622" s="46"/>
      <c r="K622" s="46"/>
      <c r="L622" s="46"/>
      <c r="M622" s="46"/>
      <c r="N622" s="46"/>
      <c r="O622" s="46"/>
      <c r="P622" s="46"/>
      <c r="Q622" s="46"/>
      <c r="R622" s="46"/>
      <c r="S622" s="46"/>
      <c r="T622" s="46"/>
      <c r="U622" s="46"/>
      <c r="V622" s="46"/>
      <c r="W622" s="46"/>
      <c r="X622" s="46"/>
      <c r="Y622" s="46"/>
      <c r="Z622" s="46"/>
      <c r="AA622" s="46"/>
    </row>
    <row r="623">
      <c r="A623" s="46"/>
      <c r="B623" s="46"/>
      <c r="C623" s="59" t="str">
        <f t="shared" si="3"/>
        <v/>
      </c>
      <c r="D623" s="46"/>
      <c r="E623" s="57" t="str">
        <f>IFERROR(__xludf.DUMMYFUNCTION("""COMPUTED_VALUE"""),"")</f>
        <v/>
      </c>
      <c r="F623" s="46" t="str">
        <f>IFERROR(__xludf.DUMMYFUNCTION("""COMPUTED_VALUE"""),"")</f>
        <v/>
      </c>
      <c r="G623" s="46"/>
      <c r="H623" s="46"/>
      <c r="I623" s="46"/>
      <c r="J623" s="46"/>
      <c r="K623" s="46"/>
      <c r="L623" s="46"/>
      <c r="M623" s="46"/>
      <c r="N623" s="46"/>
      <c r="O623" s="46"/>
      <c r="P623" s="46"/>
      <c r="Q623" s="46"/>
      <c r="R623" s="46"/>
      <c r="S623" s="46"/>
      <c r="T623" s="46"/>
      <c r="U623" s="46"/>
      <c r="V623" s="46"/>
      <c r="W623" s="46"/>
      <c r="X623" s="46"/>
      <c r="Y623" s="46"/>
      <c r="Z623" s="46"/>
      <c r="AA623" s="46"/>
    </row>
    <row r="624">
      <c r="A624" s="46"/>
      <c r="B624" s="46"/>
      <c r="C624" s="59" t="str">
        <f t="shared" si="3"/>
        <v/>
      </c>
      <c r="D624" s="46"/>
      <c r="E624" s="57" t="str">
        <f>IFERROR(__xludf.DUMMYFUNCTION("""COMPUTED_VALUE"""),"")</f>
        <v/>
      </c>
      <c r="F624" s="46" t="str">
        <f>IFERROR(__xludf.DUMMYFUNCTION("""COMPUTED_VALUE"""),"")</f>
        <v/>
      </c>
      <c r="G624" s="46"/>
      <c r="H624" s="46"/>
      <c r="I624" s="46"/>
      <c r="J624" s="46"/>
      <c r="K624" s="46"/>
      <c r="L624" s="46"/>
      <c r="M624" s="46"/>
      <c r="N624" s="46"/>
      <c r="O624" s="46"/>
      <c r="P624" s="46"/>
      <c r="Q624" s="46"/>
      <c r="R624" s="46"/>
      <c r="S624" s="46"/>
      <c r="T624" s="46"/>
      <c r="U624" s="46"/>
      <c r="V624" s="46"/>
      <c r="W624" s="46"/>
      <c r="X624" s="46"/>
      <c r="Y624" s="46"/>
      <c r="Z624" s="46"/>
      <c r="AA624" s="46"/>
    </row>
    <row r="625">
      <c r="A625" s="46"/>
      <c r="B625" s="46"/>
      <c r="C625" s="59" t="str">
        <f t="shared" si="3"/>
        <v/>
      </c>
      <c r="D625" s="46"/>
      <c r="E625" s="57" t="str">
        <f>IFERROR(__xludf.DUMMYFUNCTION("""COMPUTED_VALUE"""),"")</f>
        <v/>
      </c>
      <c r="F625" s="46" t="str">
        <f>IFERROR(__xludf.DUMMYFUNCTION("""COMPUTED_VALUE"""),"")</f>
        <v/>
      </c>
      <c r="G625" s="46"/>
      <c r="H625" s="46"/>
      <c r="I625" s="46"/>
      <c r="J625" s="46"/>
      <c r="K625" s="46"/>
      <c r="L625" s="46"/>
      <c r="M625" s="46"/>
      <c r="N625" s="46"/>
      <c r="O625" s="46"/>
      <c r="P625" s="46"/>
      <c r="Q625" s="46"/>
      <c r="R625" s="46"/>
      <c r="S625" s="46"/>
      <c r="T625" s="46"/>
      <c r="U625" s="46"/>
      <c r="V625" s="46"/>
      <c r="W625" s="46"/>
      <c r="X625" s="46"/>
      <c r="Y625" s="46"/>
      <c r="Z625" s="46"/>
      <c r="AA625" s="46"/>
    </row>
    <row r="626">
      <c r="A626" s="46"/>
      <c r="B626" s="46"/>
      <c r="C626" s="59" t="str">
        <f t="shared" si="3"/>
        <v/>
      </c>
      <c r="D626" s="46"/>
      <c r="E626" s="57" t="str">
        <f>IFERROR(__xludf.DUMMYFUNCTION("""COMPUTED_VALUE"""),"")</f>
        <v/>
      </c>
      <c r="F626" s="46" t="str">
        <f>IFERROR(__xludf.DUMMYFUNCTION("""COMPUTED_VALUE"""),"")</f>
        <v/>
      </c>
      <c r="G626" s="46"/>
      <c r="H626" s="46"/>
      <c r="I626" s="46"/>
      <c r="J626" s="46"/>
      <c r="K626" s="46"/>
      <c r="L626" s="46"/>
      <c r="M626" s="46"/>
      <c r="N626" s="46"/>
      <c r="O626" s="46"/>
      <c r="P626" s="46"/>
      <c r="Q626" s="46"/>
      <c r="R626" s="46"/>
      <c r="S626" s="46"/>
      <c r="T626" s="46"/>
      <c r="U626" s="46"/>
      <c r="V626" s="46"/>
      <c r="W626" s="46"/>
      <c r="X626" s="46"/>
      <c r="Y626" s="46"/>
      <c r="Z626" s="46"/>
      <c r="AA626" s="46"/>
    </row>
    <row r="627">
      <c r="A627" s="46"/>
      <c r="B627" s="46"/>
      <c r="C627" s="59" t="str">
        <f t="shared" si="3"/>
        <v/>
      </c>
      <c r="D627" s="46"/>
      <c r="E627" s="57" t="str">
        <f>IFERROR(__xludf.DUMMYFUNCTION("""COMPUTED_VALUE"""),"")</f>
        <v/>
      </c>
      <c r="F627" s="46" t="str">
        <f>IFERROR(__xludf.DUMMYFUNCTION("""COMPUTED_VALUE"""),"")</f>
        <v/>
      </c>
      <c r="G627" s="46"/>
      <c r="H627" s="46"/>
      <c r="I627" s="46"/>
      <c r="J627" s="46"/>
      <c r="K627" s="46"/>
      <c r="L627" s="46"/>
      <c r="M627" s="46"/>
      <c r="N627" s="46"/>
      <c r="O627" s="46"/>
      <c r="P627" s="46"/>
      <c r="Q627" s="46"/>
      <c r="R627" s="46"/>
      <c r="S627" s="46"/>
      <c r="T627" s="46"/>
      <c r="U627" s="46"/>
      <c r="V627" s="46"/>
      <c r="W627" s="46"/>
      <c r="X627" s="46"/>
      <c r="Y627" s="46"/>
      <c r="Z627" s="46"/>
      <c r="AA627" s="46"/>
    </row>
    <row r="628">
      <c r="A628" s="46"/>
      <c r="B628" s="46"/>
      <c r="C628" s="59" t="str">
        <f t="shared" si="3"/>
        <v/>
      </c>
      <c r="D628" s="46"/>
      <c r="E628" s="57" t="str">
        <f>IFERROR(__xludf.DUMMYFUNCTION("""COMPUTED_VALUE"""),"")</f>
        <v/>
      </c>
      <c r="F628" s="46" t="str">
        <f>IFERROR(__xludf.DUMMYFUNCTION("""COMPUTED_VALUE"""),"")</f>
        <v/>
      </c>
      <c r="G628" s="46"/>
      <c r="H628" s="46"/>
      <c r="I628" s="46"/>
      <c r="J628" s="46"/>
      <c r="K628" s="46"/>
      <c r="L628" s="46"/>
      <c r="M628" s="46"/>
      <c r="N628" s="46"/>
      <c r="O628" s="46"/>
      <c r="P628" s="46"/>
      <c r="Q628" s="46"/>
      <c r="R628" s="46"/>
      <c r="S628" s="46"/>
      <c r="T628" s="46"/>
      <c r="U628" s="46"/>
      <c r="V628" s="46"/>
      <c r="W628" s="46"/>
      <c r="X628" s="46"/>
      <c r="Y628" s="46"/>
      <c r="Z628" s="46"/>
      <c r="AA628" s="46"/>
    </row>
    <row r="629">
      <c r="A629" s="46"/>
      <c r="B629" s="46"/>
      <c r="C629" s="59" t="str">
        <f t="shared" si="3"/>
        <v/>
      </c>
      <c r="D629" s="46"/>
      <c r="E629" s="57" t="str">
        <f>IFERROR(__xludf.DUMMYFUNCTION("""COMPUTED_VALUE"""),"")</f>
        <v/>
      </c>
      <c r="F629" s="46" t="str">
        <f>IFERROR(__xludf.DUMMYFUNCTION("""COMPUTED_VALUE"""),"")</f>
        <v/>
      </c>
      <c r="G629" s="46"/>
      <c r="H629" s="46"/>
      <c r="I629" s="46"/>
      <c r="J629" s="46"/>
      <c r="K629" s="46"/>
      <c r="L629" s="46"/>
      <c r="M629" s="46"/>
      <c r="N629" s="46"/>
      <c r="O629" s="46"/>
      <c r="P629" s="46"/>
      <c r="Q629" s="46"/>
      <c r="R629" s="46"/>
      <c r="S629" s="46"/>
      <c r="T629" s="46"/>
      <c r="U629" s="46"/>
      <c r="V629" s="46"/>
      <c r="W629" s="46"/>
      <c r="X629" s="46"/>
      <c r="Y629" s="46"/>
      <c r="Z629" s="46"/>
      <c r="AA629" s="46"/>
    </row>
    <row r="630">
      <c r="A630" s="46"/>
      <c r="B630" s="46"/>
      <c r="C630" s="59" t="str">
        <f t="shared" si="3"/>
        <v/>
      </c>
      <c r="D630" s="46"/>
      <c r="E630" s="57" t="str">
        <f>IFERROR(__xludf.DUMMYFUNCTION("""COMPUTED_VALUE"""),"")</f>
        <v/>
      </c>
      <c r="F630" s="46" t="str">
        <f>IFERROR(__xludf.DUMMYFUNCTION("""COMPUTED_VALUE"""),"")</f>
        <v/>
      </c>
      <c r="G630" s="46"/>
      <c r="H630" s="46"/>
      <c r="I630" s="46"/>
      <c r="J630" s="46"/>
      <c r="K630" s="46"/>
      <c r="L630" s="46"/>
      <c r="M630" s="46"/>
      <c r="N630" s="46"/>
      <c r="O630" s="46"/>
      <c r="P630" s="46"/>
      <c r="Q630" s="46"/>
      <c r="R630" s="46"/>
      <c r="S630" s="46"/>
      <c r="T630" s="46"/>
      <c r="U630" s="46"/>
      <c r="V630" s="46"/>
      <c r="W630" s="46"/>
      <c r="X630" s="46"/>
      <c r="Y630" s="46"/>
      <c r="Z630" s="46"/>
      <c r="AA630" s="46"/>
    </row>
    <row r="631">
      <c r="A631" s="46"/>
      <c r="B631" s="46"/>
      <c r="C631" s="59" t="str">
        <f t="shared" si="3"/>
        <v/>
      </c>
      <c r="D631" s="46"/>
      <c r="E631" s="57" t="str">
        <f>IFERROR(__xludf.DUMMYFUNCTION("""COMPUTED_VALUE"""),"")</f>
        <v/>
      </c>
      <c r="F631" s="46" t="str">
        <f>IFERROR(__xludf.DUMMYFUNCTION("""COMPUTED_VALUE"""),"")</f>
        <v/>
      </c>
      <c r="G631" s="46"/>
      <c r="H631" s="46"/>
      <c r="I631" s="46"/>
      <c r="J631" s="46"/>
      <c r="K631" s="46"/>
      <c r="L631" s="46"/>
      <c r="M631" s="46"/>
      <c r="N631" s="46"/>
      <c r="O631" s="46"/>
      <c r="P631" s="46"/>
      <c r="Q631" s="46"/>
      <c r="R631" s="46"/>
      <c r="S631" s="46"/>
      <c r="T631" s="46"/>
      <c r="U631" s="46"/>
      <c r="V631" s="46"/>
      <c r="W631" s="46"/>
      <c r="X631" s="46"/>
      <c r="Y631" s="46"/>
      <c r="Z631" s="46"/>
      <c r="AA631" s="46"/>
    </row>
    <row r="632">
      <c r="A632" s="46"/>
      <c r="B632" s="46"/>
      <c r="C632" s="59" t="str">
        <f t="shared" si="3"/>
        <v/>
      </c>
      <c r="D632" s="46"/>
      <c r="E632" s="57" t="str">
        <f>IFERROR(__xludf.DUMMYFUNCTION("""COMPUTED_VALUE"""),"")</f>
        <v/>
      </c>
      <c r="F632" s="46" t="str">
        <f>IFERROR(__xludf.DUMMYFUNCTION("""COMPUTED_VALUE"""),"")</f>
        <v/>
      </c>
      <c r="G632" s="46"/>
      <c r="H632" s="46"/>
      <c r="I632" s="46"/>
      <c r="J632" s="46"/>
      <c r="K632" s="46"/>
      <c r="L632" s="46"/>
      <c r="M632" s="46"/>
      <c r="N632" s="46"/>
      <c r="O632" s="46"/>
      <c r="P632" s="46"/>
      <c r="Q632" s="46"/>
      <c r="R632" s="46"/>
      <c r="S632" s="46"/>
      <c r="T632" s="46"/>
      <c r="U632" s="46"/>
      <c r="V632" s="46"/>
      <c r="W632" s="46"/>
      <c r="X632" s="46"/>
      <c r="Y632" s="46"/>
      <c r="Z632" s="46"/>
      <c r="AA632" s="46"/>
    </row>
    <row r="633">
      <c r="A633" s="46"/>
      <c r="B633" s="46"/>
      <c r="C633" s="59" t="str">
        <f t="shared" si="3"/>
        <v/>
      </c>
      <c r="D633" s="46"/>
      <c r="E633" s="57" t="str">
        <f>IFERROR(__xludf.DUMMYFUNCTION("""COMPUTED_VALUE"""),"")</f>
        <v/>
      </c>
      <c r="F633" s="46" t="str">
        <f>IFERROR(__xludf.DUMMYFUNCTION("""COMPUTED_VALUE"""),"")</f>
        <v/>
      </c>
      <c r="G633" s="46"/>
      <c r="H633" s="46"/>
      <c r="I633" s="46"/>
      <c r="J633" s="46"/>
      <c r="K633" s="46"/>
      <c r="L633" s="46"/>
      <c r="M633" s="46"/>
      <c r="N633" s="46"/>
      <c r="O633" s="46"/>
      <c r="P633" s="46"/>
      <c r="Q633" s="46"/>
      <c r="R633" s="46"/>
      <c r="S633" s="46"/>
      <c r="T633" s="46"/>
      <c r="U633" s="46"/>
      <c r="V633" s="46"/>
      <c r="W633" s="46"/>
      <c r="X633" s="46"/>
      <c r="Y633" s="46"/>
      <c r="Z633" s="46"/>
      <c r="AA633" s="46"/>
    </row>
    <row r="634">
      <c r="A634" s="46"/>
      <c r="B634" s="46"/>
      <c r="C634" s="59" t="str">
        <f t="shared" si="3"/>
        <v/>
      </c>
      <c r="D634" s="46"/>
      <c r="E634" s="57" t="str">
        <f>IFERROR(__xludf.DUMMYFUNCTION("""COMPUTED_VALUE"""),"")</f>
        <v/>
      </c>
      <c r="F634" s="46" t="str">
        <f>IFERROR(__xludf.DUMMYFUNCTION("""COMPUTED_VALUE"""),"")</f>
        <v/>
      </c>
      <c r="G634" s="46"/>
      <c r="H634" s="46"/>
      <c r="I634" s="46"/>
      <c r="J634" s="46"/>
      <c r="K634" s="46"/>
      <c r="L634" s="46"/>
      <c r="M634" s="46"/>
      <c r="N634" s="46"/>
      <c r="O634" s="46"/>
      <c r="P634" s="46"/>
      <c r="Q634" s="46"/>
      <c r="R634" s="46"/>
      <c r="S634" s="46"/>
      <c r="T634" s="46"/>
      <c r="U634" s="46"/>
      <c r="V634" s="46"/>
      <c r="W634" s="46"/>
      <c r="X634" s="46"/>
      <c r="Y634" s="46"/>
      <c r="Z634" s="46"/>
      <c r="AA634" s="46"/>
    </row>
    <row r="635">
      <c r="A635" s="46"/>
      <c r="B635" s="46"/>
      <c r="C635" s="59" t="str">
        <f t="shared" si="3"/>
        <v/>
      </c>
      <c r="D635" s="46"/>
      <c r="E635" s="57" t="str">
        <f>IFERROR(__xludf.DUMMYFUNCTION("""COMPUTED_VALUE"""),"")</f>
        <v/>
      </c>
      <c r="F635" s="46" t="str">
        <f>IFERROR(__xludf.DUMMYFUNCTION("""COMPUTED_VALUE"""),"")</f>
        <v/>
      </c>
      <c r="G635" s="46"/>
      <c r="H635" s="46"/>
      <c r="I635" s="46"/>
      <c r="J635" s="46"/>
      <c r="K635" s="46"/>
      <c r="L635" s="46"/>
      <c r="M635" s="46"/>
      <c r="N635" s="46"/>
      <c r="O635" s="46"/>
      <c r="P635" s="46"/>
      <c r="Q635" s="46"/>
      <c r="R635" s="46"/>
      <c r="S635" s="46"/>
      <c r="T635" s="46"/>
      <c r="U635" s="46"/>
      <c r="V635" s="46"/>
      <c r="W635" s="46"/>
      <c r="X635" s="46"/>
      <c r="Y635" s="46"/>
      <c r="Z635" s="46"/>
      <c r="AA635" s="46"/>
    </row>
    <row r="636">
      <c r="A636" s="46"/>
      <c r="B636" s="46"/>
      <c r="C636" s="59" t="str">
        <f t="shared" si="3"/>
        <v/>
      </c>
      <c r="D636" s="46"/>
      <c r="E636" s="57" t="str">
        <f>IFERROR(__xludf.DUMMYFUNCTION("""COMPUTED_VALUE"""),"")</f>
        <v/>
      </c>
      <c r="F636" s="46" t="str">
        <f>IFERROR(__xludf.DUMMYFUNCTION("""COMPUTED_VALUE"""),"")</f>
        <v/>
      </c>
      <c r="G636" s="46"/>
      <c r="H636" s="46"/>
      <c r="I636" s="46"/>
      <c r="J636" s="46"/>
      <c r="K636" s="46"/>
      <c r="L636" s="46"/>
      <c r="M636" s="46"/>
      <c r="N636" s="46"/>
      <c r="O636" s="46"/>
      <c r="P636" s="46"/>
      <c r="Q636" s="46"/>
      <c r="R636" s="46"/>
      <c r="S636" s="46"/>
      <c r="T636" s="46"/>
      <c r="U636" s="46"/>
      <c r="V636" s="46"/>
      <c r="W636" s="46"/>
      <c r="X636" s="46"/>
      <c r="Y636" s="46"/>
      <c r="Z636" s="46"/>
      <c r="AA636" s="46"/>
    </row>
    <row r="637">
      <c r="A637" s="46"/>
      <c r="B637" s="46"/>
      <c r="C637" s="59" t="str">
        <f t="shared" si="3"/>
        <v/>
      </c>
      <c r="D637" s="46"/>
      <c r="E637" s="57" t="str">
        <f>IFERROR(__xludf.DUMMYFUNCTION("""COMPUTED_VALUE"""),"")</f>
        <v/>
      </c>
      <c r="F637" s="46" t="str">
        <f>IFERROR(__xludf.DUMMYFUNCTION("""COMPUTED_VALUE"""),"")</f>
        <v/>
      </c>
      <c r="G637" s="46"/>
      <c r="H637" s="46"/>
      <c r="I637" s="46"/>
      <c r="J637" s="46"/>
      <c r="K637" s="46"/>
      <c r="L637" s="46"/>
      <c r="M637" s="46"/>
      <c r="N637" s="46"/>
      <c r="O637" s="46"/>
      <c r="P637" s="46"/>
      <c r="Q637" s="46"/>
      <c r="R637" s="46"/>
      <c r="S637" s="46"/>
      <c r="T637" s="46"/>
      <c r="U637" s="46"/>
      <c r="V637" s="46"/>
      <c r="W637" s="46"/>
      <c r="X637" s="46"/>
      <c r="Y637" s="46"/>
      <c r="Z637" s="46"/>
      <c r="AA637" s="46"/>
    </row>
    <row r="638">
      <c r="A638" s="46"/>
      <c r="B638" s="46"/>
      <c r="C638" s="59" t="str">
        <f t="shared" si="3"/>
        <v/>
      </c>
      <c r="D638" s="46"/>
      <c r="E638" s="57" t="str">
        <f>IFERROR(__xludf.DUMMYFUNCTION("""COMPUTED_VALUE"""),"")</f>
        <v/>
      </c>
      <c r="F638" s="46" t="str">
        <f>IFERROR(__xludf.DUMMYFUNCTION("""COMPUTED_VALUE"""),"")</f>
        <v/>
      </c>
      <c r="G638" s="46"/>
      <c r="H638" s="46"/>
      <c r="I638" s="46"/>
      <c r="J638" s="46"/>
      <c r="K638" s="46"/>
      <c r="L638" s="46"/>
      <c r="M638" s="46"/>
      <c r="N638" s="46"/>
      <c r="O638" s="46"/>
      <c r="P638" s="46"/>
      <c r="Q638" s="46"/>
      <c r="R638" s="46"/>
      <c r="S638" s="46"/>
      <c r="T638" s="46"/>
      <c r="U638" s="46"/>
      <c r="V638" s="46"/>
      <c r="W638" s="46"/>
      <c r="X638" s="46"/>
      <c r="Y638" s="46"/>
      <c r="Z638" s="46"/>
      <c r="AA638" s="46"/>
    </row>
    <row r="639">
      <c r="A639" s="46"/>
      <c r="B639" s="46"/>
      <c r="C639" s="59" t="str">
        <f t="shared" si="3"/>
        <v/>
      </c>
      <c r="D639" s="46"/>
      <c r="E639" s="57" t="str">
        <f>IFERROR(__xludf.DUMMYFUNCTION("""COMPUTED_VALUE"""),"")</f>
        <v/>
      </c>
      <c r="F639" s="46" t="str">
        <f>IFERROR(__xludf.DUMMYFUNCTION("""COMPUTED_VALUE"""),"")</f>
        <v/>
      </c>
      <c r="G639" s="46"/>
      <c r="H639" s="46"/>
      <c r="I639" s="46"/>
      <c r="J639" s="46"/>
      <c r="K639" s="46"/>
      <c r="L639" s="46"/>
      <c r="M639" s="46"/>
      <c r="N639" s="46"/>
      <c r="O639" s="46"/>
      <c r="P639" s="46"/>
      <c r="Q639" s="46"/>
      <c r="R639" s="46"/>
      <c r="S639" s="46"/>
      <c r="T639" s="46"/>
      <c r="U639" s="46"/>
      <c r="V639" s="46"/>
      <c r="W639" s="46"/>
      <c r="X639" s="46"/>
      <c r="Y639" s="46"/>
      <c r="Z639" s="46"/>
      <c r="AA639" s="46"/>
    </row>
    <row r="640">
      <c r="A640" s="46"/>
      <c r="B640" s="46"/>
      <c r="C640" s="59" t="str">
        <f t="shared" si="3"/>
        <v/>
      </c>
      <c r="D640" s="46"/>
      <c r="E640" s="57" t="str">
        <f>IFERROR(__xludf.DUMMYFUNCTION("""COMPUTED_VALUE"""),"")</f>
        <v/>
      </c>
      <c r="F640" s="46" t="str">
        <f>IFERROR(__xludf.DUMMYFUNCTION("""COMPUTED_VALUE"""),"")</f>
        <v/>
      </c>
      <c r="G640" s="46"/>
      <c r="H640" s="46"/>
      <c r="I640" s="46"/>
      <c r="J640" s="46"/>
      <c r="K640" s="46"/>
      <c r="L640" s="46"/>
      <c r="M640" s="46"/>
      <c r="N640" s="46"/>
      <c r="O640" s="46"/>
      <c r="P640" s="46"/>
      <c r="Q640" s="46"/>
      <c r="R640" s="46"/>
      <c r="S640" s="46"/>
      <c r="T640" s="46"/>
      <c r="U640" s="46"/>
      <c r="V640" s="46"/>
      <c r="W640" s="46"/>
      <c r="X640" s="46"/>
      <c r="Y640" s="46"/>
      <c r="Z640" s="46"/>
      <c r="AA640" s="46"/>
    </row>
    <row r="641">
      <c r="A641" s="46"/>
      <c r="B641" s="46"/>
      <c r="C641" s="59" t="str">
        <f t="shared" si="3"/>
        <v/>
      </c>
      <c r="D641" s="46"/>
      <c r="E641" s="57" t="str">
        <f>IFERROR(__xludf.DUMMYFUNCTION("""COMPUTED_VALUE"""),"")</f>
        <v/>
      </c>
      <c r="F641" s="46" t="str">
        <f>IFERROR(__xludf.DUMMYFUNCTION("""COMPUTED_VALUE"""),"")</f>
        <v/>
      </c>
      <c r="G641" s="46"/>
      <c r="H641" s="46"/>
      <c r="I641" s="46"/>
      <c r="J641" s="46"/>
      <c r="K641" s="46"/>
      <c r="L641" s="46"/>
      <c r="M641" s="46"/>
      <c r="N641" s="46"/>
      <c r="O641" s="46"/>
      <c r="P641" s="46"/>
      <c r="Q641" s="46"/>
      <c r="R641" s="46"/>
      <c r="S641" s="46"/>
      <c r="T641" s="46"/>
      <c r="U641" s="46"/>
      <c r="V641" s="46"/>
      <c r="W641" s="46"/>
      <c r="X641" s="46"/>
      <c r="Y641" s="46"/>
      <c r="Z641" s="46"/>
      <c r="AA641" s="46"/>
    </row>
    <row r="642">
      <c r="A642" s="46"/>
      <c r="B642" s="46"/>
      <c r="C642" s="59" t="str">
        <f t="shared" si="3"/>
        <v/>
      </c>
      <c r="D642" s="46"/>
      <c r="E642" s="57" t="str">
        <f>IFERROR(__xludf.DUMMYFUNCTION("""COMPUTED_VALUE"""),"")</f>
        <v/>
      </c>
      <c r="F642" s="46" t="str">
        <f>IFERROR(__xludf.DUMMYFUNCTION("""COMPUTED_VALUE"""),"")</f>
        <v/>
      </c>
      <c r="G642" s="46"/>
      <c r="H642" s="46"/>
      <c r="I642" s="46"/>
      <c r="J642" s="46"/>
      <c r="K642" s="46"/>
      <c r="L642" s="46"/>
      <c r="M642" s="46"/>
      <c r="N642" s="46"/>
      <c r="O642" s="46"/>
      <c r="P642" s="46"/>
      <c r="Q642" s="46"/>
      <c r="R642" s="46"/>
      <c r="S642" s="46"/>
      <c r="T642" s="46"/>
      <c r="U642" s="46"/>
      <c r="V642" s="46"/>
      <c r="W642" s="46"/>
      <c r="X642" s="46"/>
      <c r="Y642" s="46"/>
      <c r="Z642" s="46"/>
      <c r="AA642" s="46"/>
    </row>
    <row r="643">
      <c r="A643" s="46"/>
      <c r="B643" s="46"/>
      <c r="C643" s="59" t="str">
        <f t="shared" si="3"/>
        <v/>
      </c>
      <c r="D643" s="46"/>
      <c r="E643" s="57" t="str">
        <f>IFERROR(__xludf.DUMMYFUNCTION("""COMPUTED_VALUE"""),"")</f>
        <v/>
      </c>
      <c r="F643" s="46" t="str">
        <f>IFERROR(__xludf.DUMMYFUNCTION("""COMPUTED_VALUE"""),"")</f>
        <v/>
      </c>
      <c r="G643" s="46"/>
      <c r="H643" s="46"/>
      <c r="I643" s="46"/>
      <c r="J643" s="46"/>
      <c r="K643" s="46"/>
      <c r="L643" s="46"/>
      <c r="M643" s="46"/>
      <c r="N643" s="46"/>
      <c r="O643" s="46"/>
      <c r="P643" s="46"/>
      <c r="Q643" s="46"/>
      <c r="R643" s="46"/>
      <c r="S643" s="46"/>
      <c r="T643" s="46"/>
      <c r="U643" s="46"/>
      <c r="V643" s="46"/>
      <c r="W643" s="46"/>
      <c r="X643" s="46"/>
      <c r="Y643" s="46"/>
      <c r="Z643" s="46"/>
      <c r="AA643" s="46"/>
    </row>
    <row r="644">
      <c r="A644" s="46"/>
      <c r="B644" s="46"/>
      <c r="C644" s="59" t="str">
        <f t="shared" si="3"/>
        <v/>
      </c>
      <c r="D644" s="46"/>
      <c r="E644" s="57" t="str">
        <f>IFERROR(__xludf.DUMMYFUNCTION("""COMPUTED_VALUE"""),"")</f>
        <v/>
      </c>
      <c r="F644" s="46" t="str">
        <f>IFERROR(__xludf.DUMMYFUNCTION("""COMPUTED_VALUE"""),"")</f>
        <v/>
      </c>
      <c r="G644" s="46"/>
      <c r="H644" s="46"/>
      <c r="I644" s="46"/>
      <c r="J644" s="46"/>
      <c r="K644" s="46"/>
      <c r="L644" s="46"/>
      <c r="M644" s="46"/>
      <c r="N644" s="46"/>
      <c r="O644" s="46"/>
      <c r="P644" s="46"/>
      <c r="Q644" s="46"/>
      <c r="R644" s="46"/>
      <c r="S644" s="46"/>
      <c r="T644" s="46"/>
      <c r="U644" s="46"/>
      <c r="V644" s="46"/>
      <c r="W644" s="46"/>
      <c r="X644" s="46"/>
      <c r="Y644" s="46"/>
      <c r="Z644" s="46"/>
      <c r="AA644" s="46"/>
    </row>
    <row r="645">
      <c r="A645" s="46"/>
      <c r="B645" s="46"/>
      <c r="C645" s="59" t="str">
        <f t="shared" si="3"/>
        <v/>
      </c>
      <c r="D645" s="46"/>
      <c r="E645" s="57" t="str">
        <f>IFERROR(__xludf.DUMMYFUNCTION("""COMPUTED_VALUE"""),"")</f>
        <v/>
      </c>
      <c r="F645" s="46" t="str">
        <f>IFERROR(__xludf.DUMMYFUNCTION("""COMPUTED_VALUE"""),"")</f>
        <v/>
      </c>
      <c r="G645" s="46"/>
      <c r="H645" s="46"/>
      <c r="I645" s="46"/>
      <c r="J645" s="46"/>
      <c r="K645" s="46"/>
      <c r="L645" s="46"/>
      <c r="M645" s="46"/>
      <c r="N645" s="46"/>
      <c r="O645" s="46"/>
      <c r="P645" s="46"/>
      <c r="Q645" s="46"/>
      <c r="R645" s="46"/>
      <c r="S645" s="46"/>
      <c r="T645" s="46"/>
      <c r="U645" s="46"/>
      <c r="V645" s="46"/>
      <c r="W645" s="46"/>
      <c r="X645" s="46"/>
      <c r="Y645" s="46"/>
      <c r="Z645" s="46"/>
      <c r="AA645" s="46"/>
    </row>
    <row r="646">
      <c r="A646" s="46"/>
      <c r="B646" s="46"/>
      <c r="C646" s="59" t="str">
        <f t="shared" si="3"/>
        <v/>
      </c>
      <c r="D646" s="46"/>
      <c r="E646" s="57" t="str">
        <f>IFERROR(__xludf.DUMMYFUNCTION("""COMPUTED_VALUE"""),"")</f>
        <v/>
      </c>
      <c r="F646" s="46" t="str">
        <f>IFERROR(__xludf.DUMMYFUNCTION("""COMPUTED_VALUE"""),"")</f>
        <v/>
      </c>
      <c r="G646" s="46"/>
      <c r="H646" s="46"/>
      <c r="I646" s="46"/>
      <c r="J646" s="46"/>
      <c r="K646" s="46"/>
      <c r="L646" s="46"/>
      <c r="M646" s="46"/>
      <c r="N646" s="46"/>
      <c r="O646" s="46"/>
      <c r="P646" s="46"/>
      <c r="Q646" s="46"/>
      <c r="R646" s="46"/>
      <c r="S646" s="46"/>
      <c r="T646" s="46"/>
      <c r="U646" s="46"/>
      <c r="V646" s="46"/>
      <c r="W646" s="46"/>
      <c r="X646" s="46"/>
      <c r="Y646" s="46"/>
      <c r="Z646" s="46"/>
      <c r="AA646" s="46"/>
    </row>
    <row r="647">
      <c r="A647" s="46"/>
      <c r="B647" s="46"/>
      <c r="C647" s="59" t="str">
        <f t="shared" si="3"/>
        <v/>
      </c>
      <c r="D647" s="46"/>
      <c r="E647" s="57" t="str">
        <f>IFERROR(__xludf.DUMMYFUNCTION("""COMPUTED_VALUE"""),"")</f>
        <v/>
      </c>
      <c r="F647" s="46" t="str">
        <f>IFERROR(__xludf.DUMMYFUNCTION("""COMPUTED_VALUE"""),"")</f>
        <v/>
      </c>
      <c r="G647" s="46"/>
      <c r="H647" s="46"/>
      <c r="I647" s="46"/>
      <c r="J647" s="46"/>
      <c r="K647" s="46"/>
      <c r="L647" s="46"/>
      <c r="M647" s="46"/>
      <c r="N647" s="46"/>
      <c r="O647" s="46"/>
      <c r="P647" s="46"/>
      <c r="Q647" s="46"/>
      <c r="R647" s="46"/>
      <c r="S647" s="46"/>
      <c r="T647" s="46"/>
      <c r="U647" s="46"/>
      <c r="V647" s="46"/>
      <c r="W647" s="46"/>
      <c r="X647" s="46"/>
      <c r="Y647" s="46"/>
      <c r="Z647" s="46"/>
      <c r="AA647" s="46"/>
    </row>
    <row r="648">
      <c r="A648" s="46"/>
      <c r="B648" s="46"/>
      <c r="C648" s="59" t="str">
        <f t="shared" si="3"/>
        <v/>
      </c>
      <c r="D648" s="46"/>
      <c r="E648" s="57" t="str">
        <f>IFERROR(__xludf.DUMMYFUNCTION("""COMPUTED_VALUE"""),"")</f>
        <v/>
      </c>
      <c r="F648" s="46" t="str">
        <f>IFERROR(__xludf.DUMMYFUNCTION("""COMPUTED_VALUE"""),"")</f>
        <v/>
      </c>
      <c r="G648" s="46"/>
      <c r="H648" s="46"/>
      <c r="I648" s="46"/>
      <c r="J648" s="46"/>
      <c r="K648" s="46"/>
      <c r="L648" s="46"/>
      <c r="M648" s="46"/>
      <c r="N648" s="46"/>
      <c r="O648" s="46"/>
      <c r="P648" s="46"/>
      <c r="Q648" s="46"/>
      <c r="R648" s="46"/>
      <c r="S648" s="46"/>
      <c r="T648" s="46"/>
      <c r="U648" s="46"/>
      <c r="V648" s="46"/>
      <c r="W648" s="46"/>
      <c r="X648" s="46"/>
      <c r="Y648" s="46"/>
      <c r="Z648" s="46"/>
      <c r="AA648" s="46"/>
    </row>
    <row r="649">
      <c r="A649" s="46"/>
      <c r="B649" s="46"/>
      <c r="C649" s="59" t="str">
        <f t="shared" si="3"/>
        <v/>
      </c>
      <c r="D649" s="46"/>
      <c r="E649" s="57" t="str">
        <f>IFERROR(__xludf.DUMMYFUNCTION("""COMPUTED_VALUE"""),"")</f>
        <v/>
      </c>
      <c r="F649" s="46" t="str">
        <f>IFERROR(__xludf.DUMMYFUNCTION("""COMPUTED_VALUE"""),"")</f>
        <v/>
      </c>
      <c r="G649" s="46"/>
      <c r="H649" s="46"/>
      <c r="I649" s="46"/>
      <c r="J649" s="46"/>
      <c r="K649" s="46"/>
      <c r="L649" s="46"/>
      <c r="M649" s="46"/>
      <c r="N649" s="46"/>
      <c r="O649" s="46"/>
      <c r="P649" s="46"/>
      <c r="Q649" s="46"/>
      <c r="R649" s="46"/>
      <c r="S649" s="46"/>
      <c r="T649" s="46"/>
      <c r="U649" s="46"/>
      <c r="V649" s="46"/>
      <c r="W649" s="46"/>
      <c r="X649" s="46"/>
      <c r="Y649" s="46"/>
      <c r="Z649" s="46"/>
      <c r="AA649" s="46"/>
    </row>
    <row r="650">
      <c r="A650" s="46"/>
      <c r="B650" s="46"/>
      <c r="C650" s="59" t="str">
        <f t="shared" si="3"/>
        <v/>
      </c>
      <c r="D650" s="46"/>
      <c r="E650" s="57" t="str">
        <f>IFERROR(__xludf.DUMMYFUNCTION("""COMPUTED_VALUE"""),"")</f>
        <v/>
      </c>
      <c r="F650" s="46" t="str">
        <f>IFERROR(__xludf.DUMMYFUNCTION("""COMPUTED_VALUE"""),"")</f>
        <v/>
      </c>
      <c r="G650" s="46"/>
      <c r="H650" s="46"/>
      <c r="I650" s="46"/>
      <c r="J650" s="46"/>
      <c r="K650" s="46"/>
      <c r="L650" s="46"/>
      <c r="M650" s="46"/>
      <c r="N650" s="46"/>
      <c r="O650" s="46"/>
      <c r="P650" s="46"/>
      <c r="Q650" s="46"/>
      <c r="R650" s="46"/>
      <c r="S650" s="46"/>
      <c r="T650" s="46"/>
      <c r="U650" s="46"/>
      <c r="V650" s="46"/>
      <c r="W650" s="46"/>
      <c r="X650" s="46"/>
      <c r="Y650" s="46"/>
      <c r="Z650" s="46"/>
      <c r="AA650" s="46"/>
    </row>
    <row r="651">
      <c r="A651" s="46"/>
      <c r="B651" s="46"/>
      <c r="C651" s="59" t="str">
        <f t="shared" si="3"/>
        <v/>
      </c>
      <c r="D651" s="46"/>
      <c r="E651" s="57" t="str">
        <f>IFERROR(__xludf.DUMMYFUNCTION("""COMPUTED_VALUE"""),"")</f>
        <v/>
      </c>
      <c r="F651" s="46" t="str">
        <f>IFERROR(__xludf.DUMMYFUNCTION("""COMPUTED_VALUE"""),"")</f>
        <v/>
      </c>
      <c r="G651" s="46"/>
      <c r="H651" s="46"/>
      <c r="I651" s="46"/>
      <c r="J651" s="46"/>
      <c r="K651" s="46"/>
      <c r="L651" s="46"/>
      <c r="M651" s="46"/>
      <c r="N651" s="46"/>
      <c r="O651" s="46"/>
      <c r="P651" s="46"/>
      <c r="Q651" s="46"/>
      <c r="R651" s="46"/>
      <c r="S651" s="46"/>
      <c r="T651" s="46"/>
      <c r="U651" s="46"/>
      <c r="V651" s="46"/>
      <c r="W651" s="46"/>
      <c r="X651" s="46"/>
      <c r="Y651" s="46"/>
      <c r="Z651" s="46"/>
      <c r="AA651" s="46"/>
    </row>
    <row r="652">
      <c r="A652" s="46"/>
      <c r="B652" s="46"/>
      <c r="C652" s="59" t="str">
        <f t="shared" si="3"/>
        <v/>
      </c>
      <c r="D652" s="46"/>
      <c r="E652" s="57" t="str">
        <f>IFERROR(__xludf.DUMMYFUNCTION("""COMPUTED_VALUE"""),"")</f>
        <v/>
      </c>
      <c r="F652" s="46" t="str">
        <f>IFERROR(__xludf.DUMMYFUNCTION("""COMPUTED_VALUE"""),"")</f>
        <v/>
      </c>
      <c r="G652" s="46"/>
      <c r="H652" s="46"/>
      <c r="I652" s="46"/>
      <c r="J652" s="46"/>
      <c r="K652" s="46"/>
      <c r="L652" s="46"/>
      <c r="M652" s="46"/>
      <c r="N652" s="46"/>
      <c r="O652" s="46"/>
      <c r="P652" s="46"/>
      <c r="Q652" s="46"/>
      <c r="R652" s="46"/>
      <c r="S652" s="46"/>
      <c r="T652" s="46"/>
      <c r="U652" s="46"/>
      <c r="V652" s="46"/>
      <c r="W652" s="46"/>
      <c r="X652" s="46"/>
      <c r="Y652" s="46"/>
      <c r="Z652" s="46"/>
      <c r="AA652" s="46"/>
    </row>
    <row r="653">
      <c r="A653" s="46"/>
      <c r="B653" s="46"/>
      <c r="C653" s="59" t="str">
        <f t="shared" si="3"/>
        <v/>
      </c>
      <c r="D653" s="46"/>
      <c r="E653" s="57" t="str">
        <f>IFERROR(__xludf.DUMMYFUNCTION("""COMPUTED_VALUE"""),"")</f>
        <v/>
      </c>
      <c r="F653" s="46" t="str">
        <f>IFERROR(__xludf.DUMMYFUNCTION("""COMPUTED_VALUE"""),"")</f>
        <v/>
      </c>
      <c r="G653" s="46"/>
      <c r="H653" s="46"/>
      <c r="I653" s="46"/>
      <c r="J653" s="46"/>
      <c r="K653" s="46"/>
      <c r="L653" s="46"/>
      <c r="M653" s="46"/>
      <c r="N653" s="46"/>
      <c r="O653" s="46"/>
      <c r="P653" s="46"/>
      <c r="Q653" s="46"/>
      <c r="R653" s="46"/>
      <c r="S653" s="46"/>
      <c r="T653" s="46"/>
      <c r="U653" s="46"/>
      <c r="V653" s="46"/>
      <c r="W653" s="46"/>
      <c r="X653" s="46"/>
      <c r="Y653" s="46"/>
      <c r="Z653" s="46"/>
      <c r="AA653" s="46"/>
    </row>
    <row r="654">
      <c r="A654" s="46"/>
      <c r="B654" s="46"/>
      <c r="C654" s="59" t="str">
        <f t="shared" si="3"/>
        <v/>
      </c>
      <c r="D654" s="46"/>
      <c r="E654" s="57" t="str">
        <f>IFERROR(__xludf.DUMMYFUNCTION("""COMPUTED_VALUE"""),"")</f>
        <v/>
      </c>
      <c r="F654" s="46" t="str">
        <f>IFERROR(__xludf.DUMMYFUNCTION("""COMPUTED_VALUE"""),"")</f>
        <v/>
      </c>
      <c r="G654" s="46"/>
      <c r="H654" s="46"/>
      <c r="I654" s="46"/>
      <c r="J654" s="46"/>
      <c r="K654" s="46"/>
      <c r="L654" s="46"/>
      <c r="M654" s="46"/>
      <c r="N654" s="46"/>
      <c r="O654" s="46"/>
      <c r="P654" s="46"/>
      <c r="Q654" s="46"/>
      <c r="R654" s="46"/>
      <c r="S654" s="46"/>
      <c r="T654" s="46"/>
      <c r="U654" s="46"/>
      <c r="V654" s="46"/>
      <c r="W654" s="46"/>
      <c r="X654" s="46"/>
      <c r="Y654" s="46"/>
      <c r="Z654" s="46"/>
      <c r="AA654" s="46"/>
    </row>
    <row r="655">
      <c r="A655" s="46"/>
      <c r="B655" s="46"/>
      <c r="C655" s="59" t="str">
        <f t="shared" si="3"/>
        <v/>
      </c>
      <c r="D655" s="46"/>
      <c r="E655" s="57" t="str">
        <f>IFERROR(__xludf.DUMMYFUNCTION("""COMPUTED_VALUE"""),"")</f>
        <v/>
      </c>
      <c r="F655" s="46" t="str">
        <f>IFERROR(__xludf.DUMMYFUNCTION("""COMPUTED_VALUE"""),"")</f>
        <v/>
      </c>
      <c r="G655" s="46"/>
      <c r="H655" s="46"/>
      <c r="I655" s="46"/>
      <c r="J655" s="46"/>
      <c r="K655" s="46"/>
      <c r="L655" s="46"/>
      <c r="M655" s="46"/>
      <c r="N655" s="46"/>
      <c r="O655" s="46"/>
      <c r="P655" s="46"/>
      <c r="Q655" s="46"/>
      <c r="R655" s="46"/>
      <c r="S655" s="46"/>
      <c r="T655" s="46"/>
      <c r="U655" s="46"/>
      <c r="V655" s="46"/>
      <c r="W655" s="46"/>
      <c r="X655" s="46"/>
      <c r="Y655" s="46"/>
      <c r="Z655" s="46"/>
      <c r="AA655" s="46"/>
    </row>
    <row r="656">
      <c r="A656" s="46"/>
      <c r="B656" s="46"/>
      <c r="C656" s="59" t="str">
        <f t="shared" si="3"/>
        <v/>
      </c>
      <c r="D656" s="46"/>
      <c r="E656" s="57" t="str">
        <f>IFERROR(__xludf.DUMMYFUNCTION("""COMPUTED_VALUE"""),"")</f>
        <v/>
      </c>
      <c r="F656" s="46" t="str">
        <f>IFERROR(__xludf.DUMMYFUNCTION("""COMPUTED_VALUE"""),"")</f>
        <v/>
      </c>
      <c r="G656" s="46"/>
      <c r="H656" s="46"/>
      <c r="I656" s="46"/>
      <c r="J656" s="46"/>
      <c r="K656" s="46"/>
      <c r="L656" s="46"/>
      <c r="M656" s="46"/>
      <c r="N656" s="46"/>
      <c r="O656" s="46"/>
      <c r="P656" s="46"/>
      <c r="Q656" s="46"/>
      <c r="R656" s="46"/>
      <c r="S656" s="46"/>
      <c r="T656" s="46"/>
      <c r="U656" s="46"/>
      <c r="V656" s="46"/>
      <c r="W656" s="46"/>
      <c r="X656" s="46"/>
      <c r="Y656" s="46"/>
      <c r="Z656" s="46"/>
      <c r="AA656" s="46"/>
    </row>
    <row r="657">
      <c r="A657" s="46"/>
      <c r="B657" s="46"/>
      <c r="C657" s="59" t="str">
        <f t="shared" si="3"/>
        <v/>
      </c>
      <c r="D657" s="46"/>
      <c r="E657" s="57" t="str">
        <f>IFERROR(__xludf.DUMMYFUNCTION("""COMPUTED_VALUE"""),"")</f>
        <v/>
      </c>
      <c r="F657" s="46" t="str">
        <f>IFERROR(__xludf.DUMMYFUNCTION("""COMPUTED_VALUE"""),"")</f>
        <v/>
      </c>
      <c r="G657" s="46"/>
      <c r="H657" s="46"/>
      <c r="I657" s="46"/>
      <c r="J657" s="46"/>
      <c r="K657" s="46"/>
      <c r="L657" s="46"/>
      <c r="M657" s="46"/>
      <c r="N657" s="46"/>
      <c r="O657" s="46"/>
      <c r="P657" s="46"/>
      <c r="Q657" s="46"/>
      <c r="R657" s="46"/>
      <c r="S657" s="46"/>
      <c r="T657" s="46"/>
      <c r="U657" s="46"/>
      <c r="V657" s="46"/>
      <c r="W657" s="46"/>
      <c r="X657" s="46"/>
      <c r="Y657" s="46"/>
      <c r="Z657" s="46"/>
      <c r="AA657" s="46"/>
    </row>
    <row r="658">
      <c r="A658" s="46"/>
      <c r="B658" s="46"/>
      <c r="C658" s="59" t="str">
        <f t="shared" si="3"/>
        <v/>
      </c>
      <c r="D658" s="46"/>
      <c r="E658" s="57" t="str">
        <f>IFERROR(__xludf.DUMMYFUNCTION("""COMPUTED_VALUE"""),"")</f>
        <v/>
      </c>
      <c r="F658" s="46" t="str">
        <f>IFERROR(__xludf.DUMMYFUNCTION("""COMPUTED_VALUE"""),"")</f>
        <v/>
      </c>
      <c r="G658" s="46"/>
      <c r="H658" s="46"/>
      <c r="I658" s="46"/>
      <c r="J658" s="46"/>
      <c r="K658" s="46"/>
      <c r="L658" s="46"/>
      <c r="M658" s="46"/>
      <c r="N658" s="46"/>
      <c r="O658" s="46"/>
      <c r="P658" s="46"/>
      <c r="Q658" s="46"/>
      <c r="R658" s="46"/>
      <c r="S658" s="46"/>
      <c r="T658" s="46"/>
      <c r="U658" s="46"/>
      <c r="V658" s="46"/>
      <c r="W658" s="46"/>
      <c r="X658" s="46"/>
      <c r="Y658" s="46"/>
      <c r="Z658" s="46"/>
      <c r="AA658" s="46"/>
    </row>
    <row r="659">
      <c r="A659" s="46"/>
      <c r="B659" s="46"/>
      <c r="C659" s="59" t="str">
        <f t="shared" si="3"/>
        <v/>
      </c>
      <c r="D659" s="46"/>
      <c r="E659" s="57" t="str">
        <f>IFERROR(__xludf.DUMMYFUNCTION("""COMPUTED_VALUE"""),"")</f>
        <v/>
      </c>
      <c r="F659" s="46" t="str">
        <f>IFERROR(__xludf.DUMMYFUNCTION("""COMPUTED_VALUE"""),"")</f>
        <v/>
      </c>
      <c r="G659" s="46"/>
      <c r="H659" s="46"/>
      <c r="I659" s="46"/>
      <c r="J659" s="46"/>
      <c r="K659" s="46"/>
      <c r="L659" s="46"/>
      <c r="M659" s="46"/>
      <c r="N659" s="46"/>
      <c r="O659" s="46"/>
      <c r="P659" s="46"/>
      <c r="Q659" s="46"/>
      <c r="R659" s="46"/>
      <c r="S659" s="46"/>
      <c r="T659" s="46"/>
      <c r="U659" s="46"/>
      <c r="V659" s="46"/>
      <c r="W659" s="46"/>
      <c r="X659" s="46"/>
      <c r="Y659" s="46"/>
      <c r="Z659" s="46"/>
      <c r="AA659" s="46"/>
    </row>
    <row r="660">
      <c r="A660" s="46"/>
      <c r="B660" s="46"/>
      <c r="C660" s="59" t="str">
        <f t="shared" si="3"/>
        <v/>
      </c>
      <c r="D660" s="46"/>
      <c r="E660" s="57" t="str">
        <f>IFERROR(__xludf.DUMMYFUNCTION("""COMPUTED_VALUE"""),"")</f>
        <v/>
      </c>
      <c r="F660" s="46" t="str">
        <f>IFERROR(__xludf.DUMMYFUNCTION("""COMPUTED_VALUE"""),"")</f>
        <v/>
      </c>
      <c r="G660" s="46"/>
      <c r="H660" s="46"/>
      <c r="I660" s="46"/>
      <c r="J660" s="46"/>
      <c r="K660" s="46"/>
      <c r="L660" s="46"/>
      <c r="M660" s="46"/>
      <c r="N660" s="46"/>
      <c r="O660" s="46"/>
      <c r="P660" s="46"/>
      <c r="Q660" s="46"/>
      <c r="R660" s="46"/>
      <c r="S660" s="46"/>
      <c r="T660" s="46"/>
      <c r="U660" s="46"/>
      <c r="V660" s="46"/>
      <c r="W660" s="46"/>
      <c r="X660" s="46"/>
      <c r="Y660" s="46"/>
      <c r="Z660" s="46"/>
      <c r="AA660" s="46"/>
    </row>
    <row r="661">
      <c r="A661" s="46"/>
      <c r="B661" s="46"/>
      <c r="C661" s="59" t="str">
        <f t="shared" si="3"/>
        <v/>
      </c>
      <c r="D661" s="46"/>
      <c r="E661" s="57" t="str">
        <f>IFERROR(__xludf.DUMMYFUNCTION("""COMPUTED_VALUE"""),"")</f>
        <v/>
      </c>
      <c r="F661" s="46" t="str">
        <f>IFERROR(__xludf.DUMMYFUNCTION("""COMPUTED_VALUE"""),"")</f>
        <v/>
      </c>
      <c r="G661" s="46"/>
      <c r="H661" s="46"/>
      <c r="I661" s="46"/>
      <c r="J661" s="46"/>
      <c r="K661" s="46"/>
      <c r="L661" s="46"/>
      <c r="M661" s="46"/>
      <c r="N661" s="46"/>
      <c r="O661" s="46"/>
      <c r="P661" s="46"/>
      <c r="Q661" s="46"/>
      <c r="R661" s="46"/>
      <c r="S661" s="46"/>
      <c r="T661" s="46"/>
      <c r="U661" s="46"/>
      <c r="V661" s="46"/>
      <c r="W661" s="46"/>
      <c r="X661" s="46"/>
      <c r="Y661" s="46"/>
      <c r="Z661" s="46"/>
      <c r="AA661" s="46"/>
    </row>
    <row r="662">
      <c r="A662" s="46"/>
      <c r="B662" s="46"/>
      <c r="C662" s="59" t="str">
        <f t="shared" si="3"/>
        <v/>
      </c>
      <c r="D662" s="46"/>
      <c r="E662" s="57" t="str">
        <f>IFERROR(__xludf.DUMMYFUNCTION("""COMPUTED_VALUE"""),"")</f>
        <v/>
      </c>
      <c r="F662" s="46" t="str">
        <f>IFERROR(__xludf.DUMMYFUNCTION("""COMPUTED_VALUE"""),"")</f>
        <v/>
      </c>
      <c r="G662" s="46"/>
      <c r="H662" s="46"/>
      <c r="I662" s="46"/>
      <c r="J662" s="46"/>
      <c r="K662" s="46"/>
      <c r="L662" s="46"/>
      <c r="M662" s="46"/>
      <c r="N662" s="46"/>
      <c r="O662" s="46"/>
      <c r="P662" s="46"/>
      <c r="Q662" s="46"/>
      <c r="R662" s="46"/>
      <c r="S662" s="46"/>
      <c r="T662" s="46"/>
      <c r="U662" s="46"/>
      <c r="V662" s="46"/>
      <c r="W662" s="46"/>
      <c r="X662" s="46"/>
      <c r="Y662" s="46"/>
      <c r="Z662" s="46"/>
      <c r="AA662" s="46"/>
    </row>
    <row r="663">
      <c r="A663" s="46"/>
      <c r="B663" s="46"/>
      <c r="C663" s="59" t="str">
        <f t="shared" si="3"/>
        <v/>
      </c>
      <c r="D663" s="46"/>
      <c r="E663" s="57" t="str">
        <f>IFERROR(__xludf.DUMMYFUNCTION("""COMPUTED_VALUE"""),"")</f>
        <v/>
      </c>
      <c r="F663" s="46" t="str">
        <f>IFERROR(__xludf.DUMMYFUNCTION("""COMPUTED_VALUE"""),"")</f>
        <v/>
      </c>
      <c r="G663" s="46"/>
      <c r="H663" s="46"/>
      <c r="I663" s="46"/>
      <c r="J663" s="46"/>
      <c r="K663" s="46"/>
      <c r="L663" s="46"/>
      <c r="M663" s="46"/>
      <c r="N663" s="46"/>
      <c r="O663" s="46"/>
      <c r="P663" s="46"/>
      <c r="Q663" s="46"/>
      <c r="R663" s="46"/>
      <c r="S663" s="46"/>
      <c r="T663" s="46"/>
      <c r="U663" s="46"/>
      <c r="V663" s="46"/>
      <c r="W663" s="46"/>
      <c r="X663" s="46"/>
      <c r="Y663" s="46"/>
      <c r="Z663" s="46"/>
      <c r="AA663" s="46"/>
    </row>
    <row r="664">
      <c r="A664" s="46"/>
      <c r="B664" s="46"/>
      <c r="C664" s="59" t="str">
        <f t="shared" si="3"/>
        <v/>
      </c>
      <c r="D664" s="46"/>
      <c r="E664" s="57" t="str">
        <f>IFERROR(__xludf.DUMMYFUNCTION("""COMPUTED_VALUE"""),"")</f>
        <v/>
      </c>
      <c r="F664" s="46" t="str">
        <f>IFERROR(__xludf.DUMMYFUNCTION("""COMPUTED_VALUE"""),"")</f>
        <v/>
      </c>
      <c r="G664" s="46"/>
      <c r="H664" s="46"/>
      <c r="I664" s="46"/>
      <c r="J664" s="46"/>
      <c r="K664" s="46"/>
      <c r="L664" s="46"/>
      <c r="M664" s="46"/>
      <c r="N664" s="46"/>
      <c r="O664" s="46"/>
      <c r="P664" s="46"/>
      <c r="Q664" s="46"/>
      <c r="R664" s="46"/>
      <c r="S664" s="46"/>
      <c r="T664" s="46"/>
      <c r="U664" s="46"/>
      <c r="V664" s="46"/>
      <c r="W664" s="46"/>
      <c r="X664" s="46"/>
      <c r="Y664" s="46"/>
      <c r="Z664" s="46"/>
      <c r="AA664" s="46"/>
    </row>
    <row r="665">
      <c r="A665" s="46"/>
      <c r="B665" s="46"/>
      <c r="C665" s="59" t="str">
        <f t="shared" si="3"/>
        <v/>
      </c>
      <c r="D665" s="46"/>
      <c r="E665" s="57" t="str">
        <f>IFERROR(__xludf.DUMMYFUNCTION("""COMPUTED_VALUE"""),"")</f>
        <v/>
      </c>
      <c r="F665" s="46" t="str">
        <f>IFERROR(__xludf.DUMMYFUNCTION("""COMPUTED_VALUE"""),"")</f>
        <v/>
      </c>
      <c r="G665" s="46"/>
      <c r="H665" s="46"/>
      <c r="I665" s="46"/>
      <c r="J665" s="46"/>
      <c r="K665" s="46"/>
      <c r="L665" s="46"/>
      <c r="M665" s="46"/>
      <c r="N665" s="46"/>
      <c r="O665" s="46"/>
      <c r="P665" s="46"/>
      <c r="Q665" s="46"/>
      <c r="R665" s="46"/>
      <c r="S665" s="46"/>
      <c r="T665" s="46"/>
      <c r="U665" s="46"/>
      <c r="V665" s="46"/>
      <c r="W665" s="46"/>
      <c r="X665" s="46"/>
      <c r="Y665" s="46"/>
      <c r="Z665" s="46"/>
      <c r="AA665" s="46"/>
    </row>
    <row r="666">
      <c r="A666" s="46"/>
      <c r="B666" s="46"/>
      <c r="C666" s="59" t="str">
        <f t="shared" si="3"/>
        <v/>
      </c>
      <c r="D666" s="46"/>
      <c r="E666" s="57" t="str">
        <f>IFERROR(__xludf.DUMMYFUNCTION("""COMPUTED_VALUE"""),"")</f>
        <v/>
      </c>
      <c r="F666" s="46" t="str">
        <f>IFERROR(__xludf.DUMMYFUNCTION("""COMPUTED_VALUE"""),"")</f>
        <v/>
      </c>
      <c r="G666" s="46"/>
      <c r="H666" s="46"/>
      <c r="I666" s="46"/>
      <c r="J666" s="46"/>
      <c r="K666" s="46"/>
      <c r="L666" s="46"/>
      <c r="M666" s="46"/>
      <c r="N666" s="46"/>
      <c r="O666" s="46"/>
      <c r="P666" s="46"/>
      <c r="Q666" s="46"/>
      <c r="R666" s="46"/>
      <c r="S666" s="46"/>
      <c r="T666" s="46"/>
      <c r="U666" s="46"/>
      <c r="V666" s="46"/>
      <c r="W666" s="46"/>
      <c r="X666" s="46"/>
      <c r="Y666" s="46"/>
      <c r="Z666" s="46"/>
      <c r="AA666" s="46"/>
    </row>
    <row r="667">
      <c r="A667" s="46"/>
      <c r="B667" s="46"/>
      <c r="C667" s="59" t="str">
        <f t="shared" si="3"/>
        <v/>
      </c>
      <c r="D667" s="46"/>
      <c r="E667" s="57" t="str">
        <f>IFERROR(__xludf.DUMMYFUNCTION("""COMPUTED_VALUE"""),"")</f>
        <v/>
      </c>
      <c r="F667" s="46" t="str">
        <f>IFERROR(__xludf.DUMMYFUNCTION("""COMPUTED_VALUE"""),"")</f>
        <v/>
      </c>
      <c r="G667" s="46"/>
      <c r="H667" s="46"/>
      <c r="I667" s="46"/>
      <c r="J667" s="46"/>
      <c r="K667" s="46"/>
      <c r="L667" s="46"/>
      <c r="M667" s="46"/>
      <c r="N667" s="46"/>
      <c r="O667" s="46"/>
      <c r="P667" s="46"/>
      <c r="Q667" s="46"/>
      <c r="R667" s="46"/>
      <c r="S667" s="46"/>
      <c r="T667" s="46"/>
      <c r="U667" s="46"/>
      <c r="V667" s="46"/>
      <c r="W667" s="46"/>
      <c r="X667" s="46"/>
      <c r="Y667" s="46"/>
      <c r="Z667" s="46"/>
      <c r="AA667" s="46"/>
    </row>
    <row r="668">
      <c r="A668" s="46"/>
      <c r="B668" s="46"/>
      <c r="C668" s="59" t="str">
        <f t="shared" si="3"/>
        <v/>
      </c>
      <c r="D668" s="46"/>
      <c r="E668" s="57" t="str">
        <f>IFERROR(__xludf.DUMMYFUNCTION("""COMPUTED_VALUE"""),"")</f>
        <v/>
      </c>
      <c r="F668" s="46" t="str">
        <f>IFERROR(__xludf.DUMMYFUNCTION("""COMPUTED_VALUE"""),"")</f>
        <v/>
      </c>
      <c r="G668" s="46"/>
      <c r="H668" s="46"/>
      <c r="I668" s="46"/>
      <c r="J668" s="46"/>
      <c r="K668" s="46"/>
      <c r="L668" s="46"/>
      <c r="M668" s="46"/>
      <c r="N668" s="46"/>
      <c r="O668" s="46"/>
      <c r="P668" s="46"/>
      <c r="Q668" s="46"/>
      <c r="R668" s="46"/>
      <c r="S668" s="46"/>
      <c r="T668" s="46"/>
      <c r="U668" s="46"/>
      <c r="V668" s="46"/>
      <c r="W668" s="46"/>
      <c r="X668" s="46"/>
      <c r="Y668" s="46"/>
      <c r="Z668" s="46"/>
      <c r="AA668" s="46"/>
    </row>
    <row r="669">
      <c r="A669" s="46"/>
      <c r="B669" s="46"/>
      <c r="C669" s="59" t="str">
        <f t="shared" si="3"/>
        <v/>
      </c>
      <c r="D669" s="46"/>
      <c r="E669" s="57" t="str">
        <f>IFERROR(__xludf.DUMMYFUNCTION("""COMPUTED_VALUE"""),"")</f>
        <v/>
      </c>
      <c r="F669" s="46" t="str">
        <f>IFERROR(__xludf.DUMMYFUNCTION("""COMPUTED_VALUE"""),"")</f>
        <v/>
      </c>
      <c r="G669" s="46"/>
      <c r="H669" s="46"/>
      <c r="I669" s="46"/>
      <c r="J669" s="46"/>
      <c r="K669" s="46"/>
      <c r="L669" s="46"/>
      <c r="M669" s="46"/>
      <c r="N669" s="46"/>
      <c r="O669" s="46"/>
      <c r="P669" s="46"/>
      <c r="Q669" s="46"/>
      <c r="R669" s="46"/>
      <c r="S669" s="46"/>
      <c r="T669" s="46"/>
      <c r="U669" s="46"/>
      <c r="V669" s="46"/>
      <c r="W669" s="46"/>
      <c r="X669" s="46"/>
      <c r="Y669" s="46"/>
      <c r="Z669" s="46"/>
      <c r="AA669" s="46"/>
    </row>
    <row r="670">
      <c r="A670" s="46"/>
      <c r="B670" s="46"/>
      <c r="C670" s="59" t="str">
        <f t="shared" si="3"/>
        <v/>
      </c>
      <c r="D670" s="46"/>
      <c r="E670" s="57" t="str">
        <f>IFERROR(__xludf.DUMMYFUNCTION("""COMPUTED_VALUE"""),"")</f>
        <v/>
      </c>
      <c r="F670" s="46" t="str">
        <f>IFERROR(__xludf.DUMMYFUNCTION("""COMPUTED_VALUE"""),"")</f>
        <v/>
      </c>
      <c r="G670" s="46"/>
      <c r="H670" s="46"/>
      <c r="I670" s="46"/>
      <c r="J670" s="46"/>
      <c r="K670" s="46"/>
      <c r="L670" s="46"/>
      <c r="M670" s="46"/>
      <c r="N670" s="46"/>
      <c r="O670" s="46"/>
      <c r="P670" s="46"/>
      <c r="Q670" s="46"/>
      <c r="R670" s="46"/>
      <c r="S670" s="46"/>
      <c r="T670" s="46"/>
      <c r="U670" s="46"/>
      <c r="V670" s="46"/>
      <c r="W670" s="46"/>
      <c r="X670" s="46"/>
      <c r="Y670" s="46"/>
      <c r="Z670" s="46"/>
      <c r="AA670" s="46"/>
    </row>
    <row r="671">
      <c r="A671" s="46"/>
      <c r="B671" s="46"/>
      <c r="C671" s="59" t="str">
        <f t="shared" si="3"/>
        <v/>
      </c>
      <c r="D671" s="46"/>
      <c r="E671" s="57" t="str">
        <f>IFERROR(__xludf.DUMMYFUNCTION("""COMPUTED_VALUE"""),"")</f>
        <v/>
      </c>
      <c r="F671" s="46" t="str">
        <f>IFERROR(__xludf.DUMMYFUNCTION("""COMPUTED_VALUE"""),"")</f>
        <v/>
      </c>
      <c r="G671" s="46"/>
      <c r="H671" s="46"/>
      <c r="I671" s="46"/>
      <c r="J671" s="46"/>
      <c r="K671" s="46"/>
      <c r="L671" s="46"/>
      <c r="M671" s="46"/>
      <c r="N671" s="46"/>
      <c r="O671" s="46"/>
      <c r="P671" s="46"/>
      <c r="Q671" s="46"/>
      <c r="R671" s="46"/>
      <c r="S671" s="46"/>
      <c r="T671" s="46"/>
      <c r="U671" s="46"/>
      <c r="V671" s="46"/>
      <c r="W671" s="46"/>
      <c r="X671" s="46"/>
      <c r="Y671" s="46"/>
      <c r="Z671" s="46"/>
      <c r="AA671" s="46"/>
    </row>
    <row r="672">
      <c r="A672" s="46"/>
      <c r="B672" s="46"/>
      <c r="C672" s="59" t="str">
        <f t="shared" si="3"/>
        <v/>
      </c>
      <c r="D672" s="46"/>
      <c r="E672" s="57" t="str">
        <f>IFERROR(__xludf.DUMMYFUNCTION("""COMPUTED_VALUE"""),"")</f>
        <v/>
      </c>
      <c r="F672" s="46" t="str">
        <f>IFERROR(__xludf.DUMMYFUNCTION("""COMPUTED_VALUE"""),"")</f>
        <v/>
      </c>
      <c r="G672" s="46"/>
      <c r="H672" s="46"/>
      <c r="I672" s="46"/>
      <c r="J672" s="46"/>
      <c r="K672" s="46"/>
      <c r="L672" s="46"/>
      <c r="M672" s="46"/>
      <c r="N672" s="46"/>
      <c r="O672" s="46"/>
      <c r="P672" s="46"/>
      <c r="Q672" s="46"/>
      <c r="R672" s="46"/>
      <c r="S672" s="46"/>
      <c r="T672" s="46"/>
      <c r="U672" s="46"/>
      <c r="V672" s="46"/>
      <c r="W672" s="46"/>
      <c r="X672" s="46"/>
      <c r="Y672" s="46"/>
      <c r="Z672" s="46"/>
      <c r="AA672" s="46"/>
    </row>
    <row r="673">
      <c r="A673" s="46"/>
      <c r="B673" s="46"/>
      <c r="C673" s="59" t="str">
        <f t="shared" si="3"/>
        <v/>
      </c>
      <c r="D673" s="46"/>
      <c r="E673" s="57" t="str">
        <f>IFERROR(__xludf.DUMMYFUNCTION("""COMPUTED_VALUE"""),"")</f>
        <v/>
      </c>
      <c r="F673" s="46" t="str">
        <f>IFERROR(__xludf.DUMMYFUNCTION("""COMPUTED_VALUE"""),"")</f>
        <v/>
      </c>
      <c r="G673" s="46"/>
      <c r="H673" s="46"/>
      <c r="I673" s="46"/>
      <c r="J673" s="46"/>
      <c r="K673" s="46"/>
      <c r="L673" s="46"/>
      <c r="M673" s="46"/>
      <c r="N673" s="46"/>
      <c r="O673" s="46"/>
      <c r="P673" s="46"/>
      <c r="Q673" s="46"/>
      <c r="R673" s="46"/>
      <c r="S673" s="46"/>
      <c r="T673" s="46"/>
      <c r="U673" s="46"/>
      <c r="V673" s="46"/>
      <c r="W673" s="46"/>
      <c r="X673" s="46"/>
      <c r="Y673" s="46"/>
      <c r="Z673" s="46"/>
      <c r="AA673" s="46"/>
    </row>
    <row r="674">
      <c r="A674" s="46"/>
      <c r="B674" s="46"/>
      <c r="C674" s="59" t="str">
        <f t="shared" si="3"/>
        <v/>
      </c>
      <c r="D674" s="46"/>
      <c r="E674" s="57" t="str">
        <f>IFERROR(__xludf.DUMMYFUNCTION("""COMPUTED_VALUE"""),"")</f>
        <v/>
      </c>
      <c r="F674" s="46" t="str">
        <f>IFERROR(__xludf.DUMMYFUNCTION("""COMPUTED_VALUE"""),"")</f>
        <v/>
      </c>
      <c r="G674" s="46"/>
      <c r="H674" s="46"/>
      <c r="I674" s="46"/>
      <c r="J674" s="46"/>
      <c r="K674" s="46"/>
      <c r="L674" s="46"/>
      <c r="M674" s="46"/>
      <c r="N674" s="46"/>
      <c r="O674" s="46"/>
      <c r="P674" s="46"/>
      <c r="Q674" s="46"/>
      <c r="R674" s="46"/>
      <c r="S674" s="46"/>
      <c r="T674" s="46"/>
      <c r="U674" s="46"/>
      <c r="V674" s="46"/>
      <c r="W674" s="46"/>
      <c r="X674" s="46"/>
      <c r="Y674" s="46"/>
      <c r="Z674" s="46"/>
      <c r="AA674" s="46"/>
    </row>
    <row r="675">
      <c r="A675" s="46"/>
      <c r="B675" s="46"/>
      <c r="C675" s="59" t="str">
        <f t="shared" si="3"/>
        <v/>
      </c>
      <c r="D675" s="46"/>
      <c r="E675" s="57" t="str">
        <f>IFERROR(__xludf.DUMMYFUNCTION("""COMPUTED_VALUE"""),"")</f>
        <v/>
      </c>
      <c r="F675" s="46" t="str">
        <f>IFERROR(__xludf.DUMMYFUNCTION("""COMPUTED_VALUE"""),"")</f>
        <v/>
      </c>
      <c r="G675" s="46"/>
      <c r="H675" s="46"/>
      <c r="I675" s="46"/>
      <c r="J675" s="46"/>
      <c r="K675" s="46"/>
      <c r="L675" s="46"/>
      <c r="M675" s="46"/>
      <c r="N675" s="46"/>
      <c r="O675" s="46"/>
      <c r="P675" s="46"/>
      <c r="Q675" s="46"/>
      <c r="R675" s="46"/>
      <c r="S675" s="46"/>
      <c r="T675" s="46"/>
      <c r="U675" s="46"/>
      <c r="V675" s="46"/>
      <c r="W675" s="46"/>
      <c r="X675" s="46"/>
      <c r="Y675" s="46"/>
      <c r="Z675" s="46"/>
      <c r="AA675" s="46"/>
    </row>
    <row r="676">
      <c r="A676" s="46"/>
      <c r="B676" s="46"/>
      <c r="C676" s="59" t="str">
        <f t="shared" si="3"/>
        <v/>
      </c>
      <c r="D676" s="46"/>
      <c r="E676" s="57" t="str">
        <f>IFERROR(__xludf.DUMMYFUNCTION("""COMPUTED_VALUE"""),"")</f>
        <v/>
      </c>
      <c r="F676" s="46" t="str">
        <f>IFERROR(__xludf.DUMMYFUNCTION("""COMPUTED_VALUE"""),"")</f>
        <v/>
      </c>
      <c r="G676" s="46"/>
      <c r="H676" s="46"/>
      <c r="I676" s="46"/>
      <c r="J676" s="46"/>
      <c r="K676" s="46"/>
      <c r="L676" s="46"/>
      <c r="M676" s="46"/>
      <c r="N676" s="46"/>
      <c r="O676" s="46"/>
      <c r="P676" s="46"/>
      <c r="Q676" s="46"/>
      <c r="R676" s="46"/>
      <c r="S676" s="46"/>
      <c r="T676" s="46"/>
      <c r="U676" s="46"/>
      <c r="V676" s="46"/>
      <c r="W676" s="46"/>
      <c r="X676" s="46"/>
      <c r="Y676" s="46"/>
      <c r="Z676" s="46"/>
      <c r="AA676" s="46"/>
    </row>
    <row r="677">
      <c r="A677" s="46"/>
      <c r="B677" s="46"/>
      <c r="C677" s="59" t="str">
        <f t="shared" si="3"/>
        <v/>
      </c>
      <c r="D677" s="46"/>
      <c r="E677" s="57" t="str">
        <f>IFERROR(__xludf.DUMMYFUNCTION("""COMPUTED_VALUE"""),"")</f>
        <v/>
      </c>
      <c r="F677" s="46" t="str">
        <f>IFERROR(__xludf.DUMMYFUNCTION("""COMPUTED_VALUE"""),"")</f>
        <v/>
      </c>
      <c r="G677" s="46"/>
      <c r="H677" s="46"/>
      <c r="I677" s="46"/>
      <c r="J677" s="46"/>
      <c r="K677" s="46"/>
      <c r="L677" s="46"/>
      <c r="M677" s="46"/>
      <c r="N677" s="46"/>
      <c r="O677" s="46"/>
      <c r="P677" s="46"/>
      <c r="Q677" s="46"/>
      <c r="R677" s="46"/>
      <c r="S677" s="46"/>
      <c r="T677" s="46"/>
      <c r="U677" s="46"/>
      <c r="V677" s="46"/>
      <c r="W677" s="46"/>
      <c r="X677" s="46"/>
      <c r="Y677" s="46"/>
      <c r="Z677" s="46"/>
      <c r="AA677" s="46"/>
    </row>
    <row r="678">
      <c r="A678" s="46"/>
      <c r="B678" s="46"/>
      <c r="C678" s="59" t="str">
        <f t="shared" si="3"/>
        <v/>
      </c>
      <c r="D678" s="46"/>
      <c r="E678" s="57" t="str">
        <f>IFERROR(__xludf.DUMMYFUNCTION("""COMPUTED_VALUE"""),"")</f>
        <v/>
      </c>
      <c r="F678" s="46" t="str">
        <f>IFERROR(__xludf.DUMMYFUNCTION("""COMPUTED_VALUE"""),"")</f>
        <v/>
      </c>
      <c r="G678" s="46"/>
      <c r="H678" s="46"/>
      <c r="I678" s="46"/>
      <c r="J678" s="46"/>
      <c r="K678" s="46"/>
      <c r="L678" s="46"/>
      <c r="M678" s="46"/>
      <c r="N678" s="46"/>
      <c r="O678" s="46"/>
      <c r="P678" s="46"/>
      <c r="Q678" s="46"/>
      <c r="R678" s="46"/>
      <c r="S678" s="46"/>
      <c r="T678" s="46"/>
      <c r="U678" s="46"/>
      <c r="V678" s="46"/>
      <c r="W678" s="46"/>
      <c r="X678" s="46"/>
      <c r="Y678" s="46"/>
      <c r="Z678" s="46"/>
      <c r="AA678" s="46"/>
    </row>
    <row r="679">
      <c r="A679" s="46"/>
      <c r="B679" s="46"/>
      <c r="C679" s="59" t="str">
        <f t="shared" si="3"/>
        <v/>
      </c>
      <c r="D679" s="46"/>
      <c r="E679" s="57" t="str">
        <f>IFERROR(__xludf.DUMMYFUNCTION("""COMPUTED_VALUE"""),"")</f>
        <v/>
      </c>
      <c r="F679" s="46" t="str">
        <f>IFERROR(__xludf.DUMMYFUNCTION("""COMPUTED_VALUE"""),"")</f>
        <v/>
      </c>
      <c r="G679" s="46"/>
      <c r="H679" s="46"/>
      <c r="I679" s="46"/>
      <c r="J679" s="46"/>
      <c r="K679" s="46"/>
      <c r="L679" s="46"/>
      <c r="M679" s="46"/>
      <c r="N679" s="46"/>
      <c r="O679" s="46"/>
      <c r="P679" s="46"/>
      <c r="Q679" s="46"/>
      <c r="R679" s="46"/>
      <c r="S679" s="46"/>
      <c r="T679" s="46"/>
      <c r="U679" s="46"/>
      <c r="V679" s="46"/>
      <c r="W679" s="46"/>
      <c r="X679" s="46"/>
      <c r="Y679" s="46"/>
      <c r="Z679" s="46"/>
      <c r="AA679" s="46"/>
    </row>
    <row r="680">
      <c r="A680" s="46"/>
      <c r="B680" s="46"/>
      <c r="C680" s="59" t="str">
        <f t="shared" si="3"/>
        <v/>
      </c>
      <c r="D680" s="46"/>
      <c r="E680" s="57" t="str">
        <f>IFERROR(__xludf.DUMMYFUNCTION("""COMPUTED_VALUE"""),"")</f>
        <v/>
      </c>
      <c r="F680" s="46" t="str">
        <f>IFERROR(__xludf.DUMMYFUNCTION("""COMPUTED_VALUE"""),"")</f>
        <v/>
      </c>
      <c r="G680" s="46"/>
      <c r="H680" s="46"/>
      <c r="I680" s="46"/>
      <c r="J680" s="46"/>
      <c r="K680" s="46"/>
      <c r="L680" s="46"/>
      <c r="M680" s="46"/>
      <c r="N680" s="46"/>
      <c r="O680" s="46"/>
      <c r="P680" s="46"/>
      <c r="Q680" s="46"/>
      <c r="R680" s="46"/>
      <c r="S680" s="46"/>
      <c r="T680" s="46"/>
      <c r="U680" s="46"/>
      <c r="V680" s="46"/>
      <c r="W680" s="46"/>
      <c r="X680" s="46"/>
      <c r="Y680" s="46"/>
      <c r="Z680" s="46"/>
      <c r="AA680" s="46"/>
    </row>
    <row r="681">
      <c r="A681" s="46"/>
      <c r="B681" s="46"/>
      <c r="C681" s="59" t="str">
        <f t="shared" si="3"/>
        <v/>
      </c>
      <c r="D681" s="46"/>
      <c r="E681" s="57" t="str">
        <f>IFERROR(__xludf.DUMMYFUNCTION("""COMPUTED_VALUE"""),"")</f>
        <v/>
      </c>
      <c r="F681" s="46" t="str">
        <f>IFERROR(__xludf.DUMMYFUNCTION("""COMPUTED_VALUE"""),"")</f>
        <v/>
      </c>
      <c r="G681" s="46"/>
      <c r="H681" s="46"/>
      <c r="I681" s="46"/>
      <c r="J681" s="46"/>
      <c r="K681" s="46"/>
      <c r="L681" s="46"/>
      <c r="M681" s="46"/>
      <c r="N681" s="46"/>
      <c r="O681" s="46"/>
      <c r="P681" s="46"/>
      <c r="Q681" s="46"/>
      <c r="R681" s="46"/>
      <c r="S681" s="46"/>
      <c r="T681" s="46"/>
      <c r="U681" s="46"/>
      <c r="V681" s="46"/>
      <c r="W681" s="46"/>
      <c r="X681" s="46"/>
      <c r="Y681" s="46"/>
      <c r="Z681" s="46"/>
      <c r="AA681" s="46"/>
    </row>
    <row r="682">
      <c r="A682" s="46"/>
      <c r="B682" s="46"/>
      <c r="C682" s="59" t="str">
        <f t="shared" si="3"/>
        <v/>
      </c>
      <c r="D682" s="46"/>
      <c r="E682" s="57" t="str">
        <f>IFERROR(__xludf.DUMMYFUNCTION("""COMPUTED_VALUE"""),"")</f>
        <v/>
      </c>
      <c r="F682" s="46" t="str">
        <f>IFERROR(__xludf.DUMMYFUNCTION("""COMPUTED_VALUE"""),"")</f>
        <v/>
      </c>
      <c r="G682" s="46"/>
      <c r="H682" s="46"/>
      <c r="I682" s="46"/>
      <c r="J682" s="46"/>
      <c r="K682" s="46"/>
      <c r="L682" s="46"/>
      <c r="M682" s="46"/>
      <c r="N682" s="46"/>
      <c r="O682" s="46"/>
      <c r="P682" s="46"/>
      <c r="Q682" s="46"/>
      <c r="R682" s="46"/>
      <c r="S682" s="46"/>
      <c r="T682" s="46"/>
      <c r="U682" s="46"/>
      <c r="V682" s="46"/>
      <c r="W682" s="46"/>
      <c r="X682" s="46"/>
      <c r="Y682" s="46"/>
      <c r="Z682" s="46"/>
      <c r="AA682" s="46"/>
    </row>
    <row r="683">
      <c r="A683" s="46"/>
      <c r="B683" s="46"/>
      <c r="C683" s="59" t="str">
        <f t="shared" si="3"/>
        <v/>
      </c>
      <c r="D683" s="46"/>
      <c r="E683" s="57" t="str">
        <f>IFERROR(__xludf.DUMMYFUNCTION("""COMPUTED_VALUE"""),"")</f>
        <v/>
      </c>
      <c r="F683" s="46" t="str">
        <f>IFERROR(__xludf.DUMMYFUNCTION("""COMPUTED_VALUE"""),"")</f>
        <v/>
      </c>
      <c r="G683" s="46"/>
      <c r="H683" s="46"/>
      <c r="I683" s="46"/>
      <c r="J683" s="46"/>
      <c r="K683" s="46"/>
      <c r="L683" s="46"/>
      <c r="M683" s="46"/>
      <c r="N683" s="46"/>
      <c r="O683" s="46"/>
      <c r="P683" s="46"/>
      <c r="Q683" s="46"/>
      <c r="R683" s="46"/>
      <c r="S683" s="46"/>
      <c r="T683" s="46"/>
      <c r="U683" s="46"/>
      <c r="V683" s="46"/>
      <c r="W683" s="46"/>
      <c r="X683" s="46"/>
      <c r="Y683" s="46"/>
      <c r="Z683" s="46"/>
      <c r="AA683" s="46"/>
    </row>
    <row r="684">
      <c r="A684" s="46"/>
      <c r="B684" s="46"/>
      <c r="C684" s="59" t="str">
        <f t="shared" si="3"/>
        <v/>
      </c>
      <c r="D684" s="46"/>
      <c r="E684" s="57" t="str">
        <f>IFERROR(__xludf.DUMMYFUNCTION("""COMPUTED_VALUE"""),"")</f>
        <v/>
      </c>
      <c r="F684" s="46" t="str">
        <f>IFERROR(__xludf.DUMMYFUNCTION("""COMPUTED_VALUE"""),"")</f>
        <v/>
      </c>
      <c r="G684" s="46"/>
      <c r="H684" s="46"/>
      <c r="I684" s="46"/>
      <c r="J684" s="46"/>
      <c r="K684" s="46"/>
      <c r="L684" s="46"/>
      <c r="M684" s="46"/>
      <c r="N684" s="46"/>
      <c r="O684" s="46"/>
      <c r="P684" s="46"/>
      <c r="Q684" s="46"/>
      <c r="R684" s="46"/>
      <c r="S684" s="46"/>
      <c r="T684" s="46"/>
      <c r="U684" s="46"/>
      <c r="V684" s="46"/>
      <c r="W684" s="46"/>
      <c r="X684" s="46"/>
      <c r="Y684" s="46"/>
      <c r="Z684" s="46"/>
      <c r="AA684" s="46"/>
    </row>
    <row r="685">
      <c r="A685" s="46"/>
      <c r="B685" s="46"/>
      <c r="C685" s="59" t="str">
        <f t="shared" si="3"/>
        <v/>
      </c>
      <c r="D685" s="46"/>
      <c r="E685" s="57" t="str">
        <f>IFERROR(__xludf.DUMMYFUNCTION("""COMPUTED_VALUE"""),"")</f>
        <v/>
      </c>
      <c r="F685" s="46" t="str">
        <f>IFERROR(__xludf.DUMMYFUNCTION("""COMPUTED_VALUE"""),"")</f>
        <v/>
      </c>
      <c r="G685" s="46"/>
      <c r="H685" s="46"/>
      <c r="I685" s="46"/>
      <c r="J685" s="46"/>
      <c r="K685" s="46"/>
      <c r="L685" s="46"/>
      <c r="M685" s="46"/>
      <c r="N685" s="46"/>
      <c r="O685" s="46"/>
      <c r="P685" s="46"/>
      <c r="Q685" s="46"/>
      <c r="R685" s="46"/>
      <c r="S685" s="46"/>
      <c r="T685" s="46"/>
      <c r="U685" s="46"/>
      <c r="V685" s="46"/>
      <c r="W685" s="46"/>
      <c r="X685" s="46"/>
      <c r="Y685" s="46"/>
      <c r="Z685" s="46"/>
      <c r="AA685" s="46"/>
    </row>
    <row r="686">
      <c r="A686" s="46"/>
      <c r="B686" s="46"/>
      <c r="C686" s="59" t="str">
        <f t="shared" si="3"/>
        <v/>
      </c>
      <c r="D686" s="46"/>
      <c r="E686" s="57" t="str">
        <f>IFERROR(__xludf.DUMMYFUNCTION("""COMPUTED_VALUE"""),"")</f>
        <v/>
      </c>
      <c r="F686" s="46" t="str">
        <f>IFERROR(__xludf.DUMMYFUNCTION("""COMPUTED_VALUE"""),"")</f>
        <v/>
      </c>
      <c r="G686" s="46"/>
      <c r="H686" s="46"/>
      <c r="I686" s="46"/>
      <c r="J686" s="46"/>
      <c r="K686" s="46"/>
      <c r="L686" s="46"/>
      <c r="M686" s="46"/>
      <c r="N686" s="46"/>
      <c r="O686" s="46"/>
      <c r="P686" s="46"/>
      <c r="Q686" s="46"/>
      <c r="R686" s="46"/>
      <c r="S686" s="46"/>
      <c r="T686" s="46"/>
      <c r="U686" s="46"/>
      <c r="V686" s="46"/>
      <c r="W686" s="46"/>
      <c r="X686" s="46"/>
      <c r="Y686" s="46"/>
      <c r="Z686" s="46"/>
      <c r="AA686" s="46"/>
    </row>
    <row r="687">
      <c r="A687" s="46"/>
      <c r="B687" s="46"/>
      <c r="C687" s="59" t="str">
        <f t="shared" si="3"/>
        <v/>
      </c>
      <c r="D687" s="46"/>
      <c r="E687" s="57" t="str">
        <f>IFERROR(__xludf.DUMMYFUNCTION("""COMPUTED_VALUE"""),"")</f>
        <v/>
      </c>
      <c r="F687" s="46" t="str">
        <f>IFERROR(__xludf.DUMMYFUNCTION("""COMPUTED_VALUE"""),"")</f>
        <v/>
      </c>
      <c r="G687" s="46"/>
      <c r="H687" s="46"/>
      <c r="I687" s="46"/>
      <c r="J687" s="46"/>
      <c r="K687" s="46"/>
      <c r="L687" s="46"/>
      <c r="M687" s="46"/>
      <c r="N687" s="46"/>
      <c r="O687" s="46"/>
      <c r="P687" s="46"/>
      <c r="Q687" s="46"/>
      <c r="R687" s="46"/>
      <c r="S687" s="46"/>
      <c r="T687" s="46"/>
      <c r="U687" s="46"/>
      <c r="V687" s="46"/>
      <c r="W687" s="46"/>
      <c r="X687" s="46"/>
      <c r="Y687" s="46"/>
      <c r="Z687" s="46"/>
      <c r="AA687" s="46"/>
    </row>
    <row r="688">
      <c r="A688" s="46"/>
      <c r="B688" s="46"/>
      <c r="C688" s="59" t="str">
        <f t="shared" si="3"/>
        <v/>
      </c>
      <c r="D688" s="46"/>
      <c r="E688" s="57" t="str">
        <f>IFERROR(__xludf.DUMMYFUNCTION("""COMPUTED_VALUE"""),"")</f>
        <v/>
      </c>
      <c r="F688" s="46" t="str">
        <f>IFERROR(__xludf.DUMMYFUNCTION("""COMPUTED_VALUE"""),"")</f>
        <v/>
      </c>
      <c r="G688" s="46"/>
      <c r="H688" s="46"/>
      <c r="I688" s="46"/>
      <c r="J688" s="46"/>
      <c r="K688" s="46"/>
      <c r="L688" s="46"/>
      <c r="M688" s="46"/>
      <c r="N688" s="46"/>
      <c r="O688" s="46"/>
      <c r="P688" s="46"/>
      <c r="Q688" s="46"/>
      <c r="R688" s="46"/>
      <c r="S688" s="46"/>
      <c r="T688" s="46"/>
      <c r="U688" s="46"/>
      <c r="V688" s="46"/>
      <c r="W688" s="46"/>
      <c r="X688" s="46"/>
      <c r="Y688" s="46"/>
      <c r="Z688" s="46"/>
      <c r="AA688" s="46"/>
    </row>
    <row r="689">
      <c r="A689" s="46"/>
      <c r="B689" s="46"/>
      <c r="C689" s="59" t="str">
        <f t="shared" si="3"/>
        <v/>
      </c>
      <c r="D689" s="46"/>
      <c r="E689" s="57" t="str">
        <f>IFERROR(__xludf.DUMMYFUNCTION("""COMPUTED_VALUE"""),"")</f>
        <v/>
      </c>
      <c r="F689" s="46" t="str">
        <f>IFERROR(__xludf.DUMMYFUNCTION("""COMPUTED_VALUE"""),"")</f>
        <v/>
      </c>
      <c r="G689" s="46"/>
      <c r="H689" s="46"/>
      <c r="I689" s="46"/>
      <c r="J689" s="46"/>
      <c r="K689" s="46"/>
      <c r="L689" s="46"/>
      <c r="M689" s="46"/>
      <c r="N689" s="46"/>
      <c r="O689" s="46"/>
      <c r="P689" s="46"/>
      <c r="Q689" s="46"/>
      <c r="R689" s="46"/>
      <c r="S689" s="46"/>
      <c r="T689" s="46"/>
      <c r="U689" s="46"/>
      <c r="V689" s="46"/>
      <c r="W689" s="46"/>
      <c r="X689" s="46"/>
      <c r="Y689" s="46"/>
      <c r="Z689" s="46"/>
      <c r="AA689" s="46"/>
    </row>
    <row r="690">
      <c r="A690" s="46"/>
      <c r="B690" s="46"/>
      <c r="C690" s="59" t="str">
        <f t="shared" si="3"/>
        <v/>
      </c>
      <c r="D690" s="46"/>
      <c r="E690" s="57" t="str">
        <f>IFERROR(__xludf.DUMMYFUNCTION("""COMPUTED_VALUE"""),"")</f>
        <v/>
      </c>
      <c r="F690" s="46" t="str">
        <f>IFERROR(__xludf.DUMMYFUNCTION("""COMPUTED_VALUE"""),"")</f>
        <v/>
      </c>
      <c r="G690" s="46"/>
      <c r="H690" s="46"/>
      <c r="I690" s="46"/>
      <c r="J690" s="46"/>
      <c r="K690" s="46"/>
      <c r="L690" s="46"/>
      <c r="M690" s="46"/>
      <c r="N690" s="46"/>
      <c r="O690" s="46"/>
      <c r="P690" s="46"/>
      <c r="Q690" s="46"/>
      <c r="R690" s="46"/>
      <c r="S690" s="46"/>
      <c r="T690" s="46"/>
      <c r="U690" s="46"/>
      <c r="V690" s="46"/>
      <c r="W690" s="46"/>
      <c r="X690" s="46"/>
      <c r="Y690" s="46"/>
      <c r="Z690" s="46"/>
      <c r="AA690" s="46"/>
    </row>
    <row r="691">
      <c r="A691" s="46"/>
      <c r="B691" s="46"/>
      <c r="C691" s="59" t="str">
        <f t="shared" si="3"/>
        <v/>
      </c>
      <c r="D691" s="46"/>
      <c r="E691" s="57" t="str">
        <f>IFERROR(__xludf.DUMMYFUNCTION("""COMPUTED_VALUE"""),"")</f>
        <v/>
      </c>
      <c r="F691" s="46" t="str">
        <f>IFERROR(__xludf.DUMMYFUNCTION("""COMPUTED_VALUE"""),"")</f>
        <v/>
      </c>
      <c r="G691" s="46"/>
      <c r="H691" s="46"/>
      <c r="I691" s="46"/>
      <c r="J691" s="46"/>
      <c r="K691" s="46"/>
      <c r="L691" s="46"/>
      <c r="M691" s="46"/>
      <c r="N691" s="46"/>
      <c r="O691" s="46"/>
      <c r="P691" s="46"/>
      <c r="Q691" s="46"/>
      <c r="R691" s="46"/>
      <c r="S691" s="46"/>
      <c r="T691" s="46"/>
      <c r="U691" s="46"/>
      <c r="V691" s="46"/>
      <c r="W691" s="46"/>
      <c r="X691" s="46"/>
      <c r="Y691" s="46"/>
      <c r="Z691" s="46"/>
      <c r="AA691" s="46"/>
    </row>
    <row r="692">
      <c r="A692" s="46"/>
      <c r="B692" s="46"/>
      <c r="C692" s="59" t="str">
        <f t="shared" si="3"/>
        <v/>
      </c>
      <c r="D692" s="46"/>
      <c r="E692" s="57" t="str">
        <f>IFERROR(__xludf.DUMMYFUNCTION("""COMPUTED_VALUE"""),"")</f>
        <v/>
      </c>
      <c r="F692" s="46" t="str">
        <f>IFERROR(__xludf.DUMMYFUNCTION("""COMPUTED_VALUE"""),"")</f>
        <v/>
      </c>
      <c r="G692" s="46"/>
      <c r="H692" s="46"/>
      <c r="I692" s="46"/>
      <c r="J692" s="46"/>
      <c r="K692" s="46"/>
      <c r="L692" s="46"/>
      <c r="M692" s="46"/>
      <c r="N692" s="46"/>
      <c r="O692" s="46"/>
      <c r="P692" s="46"/>
      <c r="Q692" s="46"/>
      <c r="R692" s="46"/>
      <c r="S692" s="46"/>
      <c r="T692" s="46"/>
      <c r="U692" s="46"/>
      <c r="V692" s="46"/>
      <c r="W692" s="46"/>
      <c r="X692" s="46"/>
      <c r="Y692" s="46"/>
      <c r="Z692" s="46"/>
      <c r="AA692" s="46"/>
    </row>
    <row r="693">
      <c r="A693" s="46"/>
      <c r="B693" s="46"/>
      <c r="C693" s="59" t="str">
        <f t="shared" si="3"/>
        <v/>
      </c>
      <c r="D693" s="46"/>
      <c r="E693" s="57" t="str">
        <f>IFERROR(__xludf.DUMMYFUNCTION("""COMPUTED_VALUE"""),"")</f>
        <v/>
      </c>
      <c r="F693" s="46" t="str">
        <f>IFERROR(__xludf.DUMMYFUNCTION("""COMPUTED_VALUE"""),"")</f>
        <v/>
      </c>
      <c r="G693" s="46"/>
      <c r="H693" s="46"/>
      <c r="I693" s="46"/>
      <c r="J693" s="46"/>
      <c r="K693" s="46"/>
      <c r="L693" s="46"/>
      <c r="M693" s="46"/>
      <c r="N693" s="46"/>
      <c r="O693" s="46"/>
      <c r="P693" s="46"/>
      <c r="Q693" s="46"/>
      <c r="R693" s="46"/>
      <c r="S693" s="46"/>
      <c r="T693" s="46"/>
      <c r="U693" s="46"/>
      <c r="V693" s="46"/>
      <c r="W693" s="46"/>
      <c r="X693" s="46"/>
      <c r="Y693" s="46"/>
      <c r="Z693" s="46"/>
      <c r="AA693" s="46"/>
    </row>
    <row r="694">
      <c r="A694" s="46"/>
      <c r="B694" s="46"/>
      <c r="C694" s="59" t="str">
        <f t="shared" si="3"/>
        <v/>
      </c>
      <c r="D694" s="46"/>
      <c r="E694" s="57" t="str">
        <f>IFERROR(__xludf.DUMMYFUNCTION("""COMPUTED_VALUE"""),"")</f>
        <v/>
      </c>
      <c r="F694" s="46" t="str">
        <f>IFERROR(__xludf.DUMMYFUNCTION("""COMPUTED_VALUE"""),"")</f>
        <v/>
      </c>
      <c r="G694" s="46"/>
      <c r="H694" s="46"/>
      <c r="I694" s="46"/>
      <c r="J694" s="46"/>
      <c r="K694" s="46"/>
      <c r="L694" s="46"/>
      <c r="M694" s="46"/>
      <c r="N694" s="46"/>
      <c r="O694" s="46"/>
      <c r="P694" s="46"/>
      <c r="Q694" s="46"/>
      <c r="R694" s="46"/>
      <c r="S694" s="46"/>
      <c r="T694" s="46"/>
      <c r="U694" s="46"/>
      <c r="V694" s="46"/>
      <c r="W694" s="46"/>
      <c r="X694" s="46"/>
      <c r="Y694" s="46"/>
      <c r="Z694" s="46"/>
      <c r="AA694" s="46"/>
    </row>
    <row r="695">
      <c r="A695" s="46"/>
      <c r="B695" s="46"/>
      <c r="C695" s="59" t="str">
        <f t="shared" si="3"/>
        <v/>
      </c>
      <c r="D695" s="46"/>
      <c r="E695" s="57" t="str">
        <f>IFERROR(__xludf.DUMMYFUNCTION("""COMPUTED_VALUE"""),"")</f>
        <v/>
      </c>
      <c r="F695" s="46" t="str">
        <f>IFERROR(__xludf.DUMMYFUNCTION("""COMPUTED_VALUE"""),"")</f>
        <v/>
      </c>
      <c r="G695" s="46"/>
      <c r="H695" s="46"/>
      <c r="I695" s="46"/>
      <c r="J695" s="46"/>
      <c r="K695" s="46"/>
      <c r="L695" s="46"/>
      <c r="M695" s="46"/>
      <c r="N695" s="46"/>
      <c r="O695" s="46"/>
      <c r="P695" s="46"/>
      <c r="Q695" s="46"/>
      <c r="R695" s="46"/>
      <c r="S695" s="46"/>
      <c r="T695" s="46"/>
      <c r="U695" s="46"/>
      <c r="V695" s="46"/>
      <c r="W695" s="46"/>
      <c r="X695" s="46"/>
      <c r="Y695" s="46"/>
      <c r="Z695" s="46"/>
      <c r="AA695" s="46"/>
    </row>
    <row r="696">
      <c r="A696" s="46"/>
      <c r="B696" s="46"/>
      <c r="C696" s="59" t="str">
        <f t="shared" si="3"/>
        <v/>
      </c>
      <c r="D696" s="46"/>
      <c r="E696" s="57" t="str">
        <f>IFERROR(__xludf.DUMMYFUNCTION("""COMPUTED_VALUE"""),"")</f>
        <v/>
      </c>
      <c r="F696" s="46" t="str">
        <f>IFERROR(__xludf.DUMMYFUNCTION("""COMPUTED_VALUE"""),"")</f>
        <v/>
      </c>
      <c r="G696" s="46"/>
      <c r="H696" s="46"/>
      <c r="I696" s="46"/>
      <c r="J696" s="46"/>
      <c r="K696" s="46"/>
      <c r="L696" s="46"/>
      <c r="M696" s="46"/>
      <c r="N696" s="46"/>
      <c r="O696" s="46"/>
      <c r="P696" s="46"/>
      <c r="Q696" s="46"/>
      <c r="R696" s="46"/>
      <c r="S696" s="46"/>
      <c r="T696" s="46"/>
      <c r="U696" s="46"/>
      <c r="V696" s="46"/>
      <c r="W696" s="46"/>
      <c r="X696" s="46"/>
      <c r="Y696" s="46"/>
      <c r="Z696" s="46"/>
      <c r="AA696" s="46"/>
    </row>
    <row r="697">
      <c r="A697" s="46"/>
      <c r="B697" s="46"/>
      <c r="C697" s="59" t="str">
        <f t="shared" si="3"/>
        <v/>
      </c>
      <c r="D697" s="46"/>
      <c r="E697" s="57" t="str">
        <f>IFERROR(__xludf.DUMMYFUNCTION("""COMPUTED_VALUE"""),"")</f>
        <v/>
      </c>
      <c r="F697" s="46" t="str">
        <f>IFERROR(__xludf.DUMMYFUNCTION("""COMPUTED_VALUE"""),"")</f>
        <v/>
      </c>
      <c r="G697" s="46"/>
      <c r="H697" s="46"/>
      <c r="I697" s="46"/>
      <c r="J697" s="46"/>
      <c r="K697" s="46"/>
      <c r="L697" s="46"/>
      <c r="M697" s="46"/>
      <c r="N697" s="46"/>
      <c r="O697" s="46"/>
      <c r="P697" s="46"/>
      <c r="Q697" s="46"/>
      <c r="R697" s="46"/>
      <c r="S697" s="46"/>
      <c r="T697" s="46"/>
      <c r="U697" s="46"/>
      <c r="V697" s="46"/>
      <c r="W697" s="46"/>
      <c r="X697" s="46"/>
      <c r="Y697" s="46"/>
      <c r="Z697" s="46"/>
      <c r="AA697" s="46"/>
    </row>
    <row r="698">
      <c r="A698" s="46"/>
      <c r="B698" s="46"/>
      <c r="C698" s="59" t="str">
        <f t="shared" si="3"/>
        <v/>
      </c>
      <c r="D698" s="46"/>
      <c r="E698" s="57" t="str">
        <f>IFERROR(__xludf.DUMMYFUNCTION("""COMPUTED_VALUE"""),"")</f>
        <v/>
      </c>
      <c r="F698" s="46" t="str">
        <f>IFERROR(__xludf.DUMMYFUNCTION("""COMPUTED_VALUE"""),"")</f>
        <v/>
      </c>
      <c r="G698" s="46"/>
      <c r="H698" s="46"/>
      <c r="I698" s="46"/>
      <c r="J698" s="46"/>
      <c r="K698" s="46"/>
      <c r="L698" s="46"/>
      <c r="M698" s="46"/>
      <c r="N698" s="46"/>
      <c r="O698" s="46"/>
      <c r="P698" s="46"/>
      <c r="Q698" s="46"/>
      <c r="R698" s="46"/>
      <c r="S698" s="46"/>
      <c r="T698" s="46"/>
      <c r="U698" s="46"/>
      <c r="V698" s="46"/>
      <c r="W698" s="46"/>
      <c r="X698" s="46"/>
      <c r="Y698" s="46"/>
      <c r="Z698" s="46"/>
      <c r="AA698" s="46"/>
    </row>
    <row r="699">
      <c r="A699" s="46"/>
      <c r="B699" s="46"/>
      <c r="C699" s="59" t="str">
        <f t="shared" si="3"/>
        <v/>
      </c>
      <c r="D699" s="46"/>
      <c r="E699" s="57" t="str">
        <f>IFERROR(__xludf.DUMMYFUNCTION("""COMPUTED_VALUE"""),"")</f>
        <v/>
      </c>
      <c r="F699" s="46" t="str">
        <f>IFERROR(__xludf.DUMMYFUNCTION("""COMPUTED_VALUE"""),"")</f>
        <v/>
      </c>
      <c r="G699" s="46"/>
      <c r="H699" s="46"/>
      <c r="I699" s="46"/>
      <c r="J699" s="46"/>
      <c r="K699" s="46"/>
      <c r="L699" s="46"/>
      <c r="M699" s="46"/>
      <c r="N699" s="46"/>
      <c r="O699" s="46"/>
      <c r="P699" s="46"/>
      <c r="Q699" s="46"/>
      <c r="R699" s="46"/>
      <c r="S699" s="46"/>
      <c r="T699" s="46"/>
      <c r="U699" s="46"/>
      <c r="V699" s="46"/>
      <c r="W699" s="46"/>
      <c r="X699" s="46"/>
      <c r="Y699" s="46"/>
      <c r="Z699" s="46"/>
      <c r="AA699" s="46"/>
    </row>
    <row r="700">
      <c r="A700" s="46"/>
      <c r="B700" s="46"/>
      <c r="C700" s="59" t="str">
        <f t="shared" si="3"/>
        <v/>
      </c>
      <c r="D700" s="46"/>
      <c r="E700" s="57" t="str">
        <f>IFERROR(__xludf.DUMMYFUNCTION("""COMPUTED_VALUE"""),"")</f>
        <v/>
      </c>
      <c r="F700" s="46" t="str">
        <f>IFERROR(__xludf.DUMMYFUNCTION("""COMPUTED_VALUE"""),"")</f>
        <v/>
      </c>
      <c r="G700" s="46"/>
      <c r="H700" s="46"/>
      <c r="I700" s="46"/>
      <c r="J700" s="46"/>
      <c r="K700" s="46"/>
      <c r="L700" s="46"/>
      <c r="M700" s="46"/>
      <c r="N700" s="46"/>
      <c r="O700" s="46"/>
      <c r="P700" s="46"/>
      <c r="Q700" s="46"/>
      <c r="R700" s="46"/>
      <c r="S700" s="46"/>
      <c r="T700" s="46"/>
      <c r="U700" s="46"/>
      <c r="V700" s="46"/>
      <c r="W700" s="46"/>
      <c r="X700" s="46"/>
      <c r="Y700" s="46"/>
      <c r="Z700" s="46"/>
      <c r="AA700" s="46"/>
    </row>
    <row r="701">
      <c r="A701" s="46"/>
      <c r="B701" s="46"/>
      <c r="C701" s="59" t="str">
        <f t="shared" si="3"/>
        <v/>
      </c>
      <c r="D701" s="46"/>
      <c r="E701" s="57" t="str">
        <f>IFERROR(__xludf.DUMMYFUNCTION("""COMPUTED_VALUE"""),"")</f>
        <v/>
      </c>
      <c r="F701" s="46" t="str">
        <f>IFERROR(__xludf.DUMMYFUNCTION("""COMPUTED_VALUE"""),"")</f>
        <v/>
      </c>
      <c r="G701" s="46"/>
      <c r="H701" s="46"/>
      <c r="I701" s="46"/>
      <c r="J701" s="46"/>
      <c r="K701" s="46"/>
      <c r="L701" s="46"/>
      <c r="M701" s="46"/>
      <c r="N701" s="46"/>
      <c r="O701" s="46"/>
      <c r="P701" s="46"/>
      <c r="Q701" s="46"/>
      <c r="R701" s="46"/>
      <c r="S701" s="46"/>
      <c r="T701" s="46"/>
      <c r="U701" s="46"/>
      <c r="V701" s="46"/>
      <c r="W701" s="46"/>
      <c r="X701" s="46"/>
      <c r="Y701" s="46"/>
      <c r="Z701" s="46"/>
      <c r="AA701" s="46"/>
    </row>
    <row r="702">
      <c r="A702" s="46"/>
      <c r="B702" s="46"/>
      <c r="C702" s="59" t="str">
        <f t="shared" si="3"/>
        <v/>
      </c>
      <c r="D702" s="46"/>
      <c r="E702" s="57" t="str">
        <f>IFERROR(__xludf.DUMMYFUNCTION("""COMPUTED_VALUE"""),"")</f>
        <v/>
      </c>
      <c r="F702" s="46" t="str">
        <f>IFERROR(__xludf.DUMMYFUNCTION("""COMPUTED_VALUE"""),"")</f>
        <v/>
      </c>
      <c r="G702" s="46"/>
      <c r="H702" s="46"/>
      <c r="I702" s="46"/>
      <c r="J702" s="46"/>
      <c r="K702" s="46"/>
      <c r="L702" s="46"/>
      <c r="M702" s="46"/>
      <c r="N702" s="46"/>
      <c r="O702" s="46"/>
      <c r="P702" s="46"/>
      <c r="Q702" s="46"/>
      <c r="R702" s="46"/>
      <c r="S702" s="46"/>
      <c r="T702" s="46"/>
      <c r="U702" s="46"/>
      <c r="V702" s="46"/>
      <c r="W702" s="46"/>
      <c r="X702" s="46"/>
      <c r="Y702" s="46"/>
      <c r="Z702" s="46"/>
      <c r="AA702" s="46"/>
    </row>
    <row r="703">
      <c r="A703" s="46"/>
      <c r="B703" s="46"/>
      <c r="C703" s="59" t="str">
        <f t="shared" si="3"/>
        <v/>
      </c>
      <c r="D703" s="46"/>
      <c r="E703" s="57" t="str">
        <f>IFERROR(__xludf.DUMMYFUNCTION("""COMPUTED_VALUE"""),"")</f>
        <v/>
      </c>
      <c r="F703" s="46" t="str">
        <f>IFERROR(__xludf.DUMMYFUNCTION("""COMPUTED_VALUE"""),"")</f>
        <v/>
      </c>
      <c r="G703" s="46"/>
      <c r="H703" s="46"/>
      <c r="I703" s="46"/>
      <c r="J703" s="46"/>
      <c r="K703" s="46"/>
      <c r="L703" s="46"/>
      <c r="M703" s="46"/>
      <c r="N703" s="46"/>
      <c r="O703" s="46"/>
      <c r="P703" s="46"/>
      <c r="Q703" s="46"/>
      <c r="R703" s="46"/>
      <c r="S703" s="46"/>
      <c r="T703" s="46"/>
      <c r="U703" s="46"/>
      <c r="V703" s="46"/>
      <c r="W703" s="46"/>
      <c r="X703" s="46"/>
      <c r="Y703" s="46"/>
      <c r="Z703" s="46"/>
      <c r="AA703" s="46"/>
    </row>
    <row r="704">
      <c r="A704" s="46"/>
      <c r="B704" s="46"/>
      <c r="C704" s="59" t="str">
        <f t="shared" si="3"/>
        <v/>
      </c>
      <c r="D704" s="46"/>
      <c r="E704" s="57" t="str">
        <f>IFERROR(__xludf.DUMMYFUNCTION("""COMPUTED_VALUE"""),"")</f>
        <v/>
      </c>
      <c r="F704" s="46" t="str">
        <f>IFERROR(__xludf.DUMMYFUNCTION("""COMPUTED_VALUE"""),"")</f>
        <v/>
      </c>
      <c r="G704" s="46"/>
      <c r="H704" s="46"/>
      <c r="I704" s="46"/>
      <c r="J704" s="46"/>
      <c r="K704" s="46"/>
      <c r="L704" s="46"/>
      <c r="M704" s="46"/>
      <c r="N704" s="46"/>
      <c r="O704" s="46"/>
      <c r="P704" s="46"/>
      <c r="Q704" s="46"/>
      <c r="R704" s="46"/>
      <c r="S704" s="46"/>
      <c r="T704" s="46"/>
      <c r="U704" s="46"/>
      <c r="V704" s="46"/>
      <c r="W704" s="46"/>
      <c r="X704" s="46"/>
      <c r="Y704" s="46"/>
      <c r="Z704" s="46"/>
      <c r="AA704" s="46"/>
    </row>
    <row r="705">
      <c r="A705" s="46"/>
      <c r="B705" s="46"/>
      <c r="C705" s="59" t="str">
        <f t="shared" si="3"/>
        <v/>
      </c>
      <c r="D705" s="46"/>
      <c r="E705" s="57" t="str">
        <f>IFERROR(__xludf.DUMMYFUNCTION("""COMPUTED_VALUE"""),"")</f>
        <v/>
      </c>
      <c r="F705" s="46" t="str">
        <f>IFERROR(__xludf.DUMMYFUNCTION("""COMPUTED_VALUE"""),"")</f>
        <v/>
      </c>
      <c r="G705" s="46"/>
      <c r="H705" s="46"/>
      <c r="I705" s="46"/>
      <c r="J705" s="46"/>
      <c r="K705" s="46"/>
      <c r="L705" s="46"/>
      <c r="M705" s="46"/>
      <c r="N705" s="46"/>
      <c r="O705" s="46"/>
      <c r="P705" s="46"/>
      <c r="Q705" s="46"/>
      <c r="R705" s="46"/>
      <c r="S705" s="46"/>
      <c r="T705" s="46"/>
      <c r="U705" s="46"/>
      <c r="V705" s="46"/>
      <c r="W705" s="46"/>
      <c r="X705" s="46"/>
      <c r="Y705" s="46"/>
      <c r="Z705" s="46"/>
      <c r="AA705" s="46"/>
    </row>
    <row r="706">
      <c r="A706" s="46"/>
      <c r="B706" s="46"/>
      <c r="C706" s="59" t="str">
        <f t="shared" si="3"/>
        <v/>
      </c>
      <c r="D706" s="46"/>
      <c r="E706" s="57" t="str">
        <f>IFERROR(__xludf.DUMMYFUNCTION("""COMPUTED_VALUE"""),"")</f>
        <v/>
      </c>
      <c r="F706" s="46" t="str">
        <f>IFERROR(__xludf.DUMMYFUNCTION("""COMPUTED_VALUE"""),"")</f>
        <v/>
      </c>
      <c r="G706" s="46"/>
      <c r="H706" s="46"/>
      <c r="I706" s="46"/>
      <c r="J706" s="46"/>
      <c r="K706" s="46"/>
      <c r="L706" s="46"/>
      <c r="M706" s="46"/>
      <c r="N706" s="46"/>
      <c r="O706" s="46"/>
      <c r="P706" s="46"/>
      <c r="Q706" s="46"/>
      <c r="R706" s="46"/>
      <c r="S706" s="46"/>
      <c r="T706" s="46"/>
      <c r="U706" s="46"/>
      <c r="V706" s="46"/>
      <c r="W706" s="46"/>
      <c r="X706" s="46"/>
      <c r="Y706" s="46"/>
      <c r="Z706" s="46"/>
      <c r="AA706" s="46"/>
    </row>
    <row r="707">
      <c r="A707" s="46"/>
      <c r="B707" s="46"/>
      <c r="C707" s="59" t="str">
        <f t="shared" si="3"/>
        <v/>
      </c>
      <c r="D707" s="46"/>
      <c r="E707" s="57" t="str">
        <f>IFERROR(__xludf.DUMMYFUNCTION("""COMPUTED_VALUE"""),"")</f>
        <v/>
      </c>
      <c r="F707" s="46" t="str">
        <f>IFERROR(__xludf.DUMMYFUNCTION("""COMPUTED_VALUE"""),"")</f>
        <v/>
      </c>
      <c r="G707" s="46"/>
      <c r="H707" s="46"/>
      <c r="I707" s="46"/>
      <c r="J707" s="46"/>
      <c r="K707" s="46"/>
      <c r="L707" s="46"/>
      <c r="M707" s="46"/>
      <c r="N707" s="46"/>
      <c r="O707" s="46"/>
      <c r="P707" s="46"/>
      <c r="Q707" s="46"/>
      <c r="R707" s="46"/>
      <c r="S707" s="46"/>
      <c r="T707" s="46"/>
      <c r="U707" s="46"/>
      <c r="V707" s="46"/>
      <c r="W707" s="46"/>
      <c r="X707" s="46"/>
      <c r="Y707" s="46"/>
      <c r="Z707" s="46"/>
      <c r="AA707" s="46"/>
    </row>
    <row r="708">
      <c r="A708" s="46"/>
      <c r="B708" s="46"/>
      <c r="C708" s="59" t="str">
        <f t="shared" si="3"/>
        <v/>
      </c>
      <c r="D708" s="46"/>
      <c r="E708" s="57" t="str">
        <f>IFERROR(__xludf.DUMMYFUNCTION("""COMPUTED_VALUE"""),"")</f>
        <v/>
      </c>
      <c r="F708" s="46" t="str">
        <f>IFERROR(__xludf.DUMMYFUNCTION("""COMPUTED_VALUE"""),"")</f>
        <v/>
      </c>
      <c r="G708" s="46"/>
      <c r="H708" s="46"/>
      <c r="I708" s="46"/>
      <c r="J708" s="46"/>
      <c r="K708" s="46"/>
      <c r="L708" s="46"/>
      <c r="M708" s="46"/>
      <c r="N708" s="46"/>
      <c r="O708" s="46"/>
      <c r="P708" s="46"/>
      <c r="Q708" s="46"/>
      <c r="R708" s="46"/>
      <c r="S708" s="46"/>
      <c r="T708" s="46"/>
      <c r="U708" s="46"/>
      <c r="V708" s="46"/>
      <c r="W708" s="46"/>
      <c r="X708" s="46"/>
      <c r="Y708" s="46"/>
      <c r="Z708" s="46"/>
      <c r="AA708" s="46"/>
    </row>
    <row r="709">
      <c r="A709" s="46"/>
      <c r="B709" s="46"/>
      <c r="C709" s="59" t="str">
        <f t="shared" si="3"/>
        <v/>
      </c>
      <c r="D709" s="46"/>
      <c r="E709" s="57" t="str">
        <f>IFERROR(__xludf.DUMMYFUNCTION("""COMPUTED_VALUE"""),"")</f>
        <v/>
      </c>
      <c r="F709" s="46" t="str">
        <f>IFERROR(__xludf.DUMMYFUNCTION("""COMPUTED_VALUE"""),"")</f>
        <v/>
      </c>
      <c r="G709" s="46"/>
      <c r="H709" s="46"/>
      <c r="I709" s="46"/>
      <c r="J709" s="46"/>
      <c r="K709" s="46"/>
      <c r="L709" s="46"/>
      <c r="M709" s="46"/>
      <c r="N709" s="46"/>
      <c r="O709" s="46"/>
      <c r="P709" s="46"/>
      <c r="Q709" s="46"/>
      <c r="R709" s="46"/>
      <c r="S709" s="46"/>
      <c r="T709" s="46"/>
      <c r="U709" s="46"/>
      <c r="V709" s="46"/>
      <c r="W709" s="46"/>
      <c r="X709" s="46"/>
      <c r="Y709" s="46"/>
      <c r="Z709" s="46"/>
      <c r="AA709" s="46"/>
    </row>
    <row r="710">
      <c r="A710" s="46"/>
      <c r="B710" s="46"/>
      <c r="C710" s="59" t="str">
        <f t="shared" si="3"/>
        <v/>
      </c>
      <c r="D710" s="46"/>
      <c r="E710" s="57" t="str">
        <f>IFERROR(__xludf.DUMMYFUNCTION("""COMPUTED_VALUE"""),"")</f>
        <v/>
      </c>
      <c r="F710" s="46" t="str">
        <f>IFERROR(__xludf.DUMMYFUNCTION("""COMPUTED_VALUE"""),"")</f>
        <v/>
      </c>
      <c r="G710" s="46"/>
      <c r="H710" s="46"/>
      <c r="I710" s="46"/>
      <c r="J710" s="46"/>
      <c r="K710" s="46"/>
      <c r="L710" s="46"/>
      <c r="M710" s="46"/>
      <c r="N710" s="46"/>
      <c r="O710" s="46"/>
      <c r="P710" s="46"/>
      <c r="Q710" s="46"/>
      <c r="R710" s="46"/>
      <c r="S710" s="46"/>
      <c r="T710" s="46"/>
      <c r="U710" s="46"/>
      <c r="V710" s="46"/>
      <c r="W710" s="46"/>
      <c r="X710" s="46"/>
      <c r="Y710" s="46"/>
      <c r="Z710" s="46"/>
      <c r="AA710" s="46"/>
    </row>
    <row r="711">
      <c r="A711" s="46"/>
      <c r="B711" s="46"/>
      <c r="C711" s="59" t="str">
        <f t="shared" si="3"/>
        <v/>
      </c>
      <c r="D711" s="46"/>
      <c r="E711" s="57" t="str">
        <f>IFERROR(__xludf.DUMMYFUNCTION("""COMPUTED_VALUE"""),"")</f>
        <v/>
      </c>
      <c r="F711" s="46" t="str">
        <f>IFERROR(__xludf.DUMMYFUNCTION("""COMPUTED_VALUE"""),"")</f>
        <v/>
      </c>
      <c r="G711" s="46"/>
      <c r="H711" s="46"/>
      <c r="I711" s="46"/>
      <c r="J711" s="46"/>
      <c r="K711" s="46"/>
      <c r="L711" s="46"/>
      <c r="M711" s="46"/>
      <c r="N711" s="46"/>
      <c r="O711" s="46"/>
      <c r="P711" s="46"/>
      <c r="Q711" s="46"/>
      <c r="R711" s="46"/>
      <c r="S711" s="46"/>
      <c r="T711" s="46"/>
      <c r="U711" s="46"/>
      <c r="V711" s="46"/>
      <c r="W711" s="46"/>
      <c r="X711" s="46"/>
      <c r="Y711" s="46"/>
      <c r="Z711" s="46"/>
      <c r="AA711" s="46"/>
    </row>
    <row r="712">
      <c r="A712" s="46"/>
      <c r="B712" s="46"/>
      <c r="C712" s="59" t="str">
        <f t="shared" si="3"/>
        <v/>
      </c>
      <c r="D712" s="46"/>
      <c r="E712" s="57" t="str">
        <f>IFERROR(__xludf.DUMMYFUNCTION("""COMPUTED_VALUE"""),"")</f>
        <v/>
      </c>
      <c r="F712" s="46" t="str">
        <f>IFERROR(__xludf.DUMMYFUNCTION("""COMPUTED_VALUE"""),"")</f>
        <v/>
      </c>
      <c r="G712" s="46"/>
      <c r="H712" s="46"/>
      <c r="I712" s="46"/>
      <c r="J712" s="46"/>
      <c r="K712" s="46"/>
      <c r="L712" s="46"/>
      <c r="M712" s="46"/>
      <c r="N712" s="46"/>
      <c r="O712" s="46"/>
      <c r="P712" s="46"/>
      <c r="Q712" s="46"/>
      <c r="R712" s="46"/>
      <c r="S712" s="46"/>
      <c r="T712" s="46"/>
      <c r="U712" s="46"/>
      <c r="V712" s="46"/>
      <c r="W712" s="46"/>
      <c r="X712" s="46"/>
      <c r="Y712" s="46"/>
      <c r="Z712" s="46"/>
      <c r="AA712" s="46"/>
    </row>
    <row r="713">
      <c r="A713" s="46"/>
      <c r="B713" s="46"/>
      <c r="C713" s="59" t="str">
        <f t="shared" si="3"/>
        <v/>
      </c>
      <c r="D713" s="46"/>
      <c r="E713" s="57" t="str">
        <f>IFERROR(__xludf.DUMMYFUNCTION("""COMPUTED_VALUE"""),"")</f>
        <v/>
      </c>
      <c r="F713" s="46" t="str">
        <f>IFERROR(__xludf.DUMMYFUNCTION("""COMPUTED_VALUE"""),"")</f>
        <v/>
      </c>
      <c r="G713" s="46"/>
      <c r="H713" s="46"/>
      <c r="I713" s="46"/>
      <c r="J713" s="46"/>
      <c r="K713" s="46"/>
      <c r="L713" s="46"/>
      <c r="M713" s="46"/>
      <c r="N713" s="46"/>
      <c r="O713" s="46"/>
      <c r="P713" s="46"/>
      <c r="Q713" s="46"/>
      <c r="R713" s="46"/>
      <c r="S713" s="46"/>
      <c r="T713" s="46"/>
      <c r="U713" s="46"/>
      <c r="V713" s="46"/>
      <c r="W713" s="46"/>
      <c r="X713" s="46"/>
      <c r="Y713" s="46"/>
      <c r="Z713" s="46"/>
      <c r="AA713" s="46"/>
    </row>
    <row r="714">
      <c r="A714" s="46"/>
      <c r="B714" s="46"/>
      <c r="C714" s="59" t="str">
        <f t="shared" si="3"/>
        <v/>
      </c>
      <c r="D714" s="46"/>
      <c r="E714" s="57" t="str">
        <f>IFERROR(__xludf.DUMMYFUNCTION("""COMPUTED_VALUE"""),"")</f>
        <v/>
      </c>
      <c r="F714" s="46" t="str">
        <f>IFERROR(__xludf.DUMMYFUNCTION("""COMPUTED_VALUE"""),"")</f>
        <v/>
      </c>
      <c r="G714" s="46"/>
      <c r="H714" s="46"/>
      <c r="I714" s="46"/>
      <c r="J714" s="46"/>
      <c r="K714" s="46"/>
      <c r="L714" s="46"/>
      <c r="M714" s="46"/>
      <c r="N714" s="46"/>
      <c r="O714" s="46"/>
      <c r="P714" s="46"/>
      <c r="Q714" s="46"/>
      <c r="R714" s="46"/>
      <c r="S714" s="46"/>
      <c r="T714" s="46"/>
      <c r="U714" s="46"/>
      <c r="V714" s="46"/>
      <c r="W714" s="46"/>
      <c r="X714" s="46"/>
      <c r="Y714" s="46"/>
      <c r="Z714" s="46"/>
      <c r="AA714" s="46"/>
    </row>
    <row r="715">
      <c r="A715" s="46"/>
      <c r="B715" s="46"/>
      <c r="C715" s="59" t="str">
        <f t="shared" si="3"/>
        <v/>
      </c>
      <c r="D715" s="46"/>
      <c r="E715" s="57" t="str">
        <f>IFERROR(__xludf.DUMMYFUNCTION("""COMPUTED_VALUE"""),"")</f>
        <v/>
      </c>
      <c r="F715" s="46" t="str">
        <f>IFERROR(__xludf.DUMMYFUNCTION("""COMPUTED_VALUE"""),"")</f>
        <v/>
      </c>
      <c r="G715" s="46"/>
      <c r="H715" s="46"/>
      <c r="I715" s="46"/>
      <c r="J715" s="46"/>
      <c r="K715" s="46"/>
      <c r="L715" s="46"/>
      <c r="M715" s="46"/>
      <c r="N715" s="46"/>
      <c r="O715" s="46"/>
      <c r="P715" s="46"/>
      <c r="Q715" s="46"/>
      <c r="R715" s="46"/>
      <c r="S715" s="46"/>
      <c r="T715" s="46"/>
      <c r="U715" s="46"/>
      <c r="V715" s="46"/>
      <c r="W715" s="46"/>
      <c r="X715" s="46"/>
      <c r="Y715" s="46"/>
      <c r="Z715" s="46"/>
      <c r="AA715" s="46"/>
    </row>
    <row r="716">
      <c r="A716" s="46"/>
      <c r="B716" s="46"/>
      <c r="C716" s="59" t="str">
        <f t="shared" si="3"/>
        <v/>
      </c>
      <c r="D716" s="46"/>
      <c r="E716" s="57" t="str">
        <f>IFERROR(__xludf.DUMMYFUNCTION("""COMPUTED_VALUE"""),"")</f>
        <v/>
      </c>
      <c r="F716" s="46" t="str">
        <f>IFERROR(__xludf.DUMMYFUNCTION("""COMPUTED_VALUE"""),"")</f>
        <v/>
      </c>
      <c r="G716" s="46"/>
      <c r="H716" s="46"/>
      <c r="I716" s="46"/>
      <c r="J716" s="46"/>
      <c r="K716" s="46"/>
      <c r="L716" s="46"/>
      <c r="M716" s="46"/>
      <c r="N716" s="46"/>
      <c r="O716" s="46"/>
      <c r="P716" s="46"/>
      <c r="Q716" s="46"/>
      <c r="R716" s="46"/>
      <c r="S716" s="46"/>
      <c r="T716" s="46"/>
      <c r="U716" s="46"/>
      <c r="V716" s="46"/>
      <c r="W716" s="46"/>
      <c r="X716" s="46"/>
      <c r="Y716" s="46"/>
      <c r="Z716" s="46"/>
      <c r="AA716" s="46"/>
    </row>
    <row r="717">
      <c r="A717" s="46"/>
      <c r="B717" s="46"/>
      <c r="C717" s="59" t="str">
        <f t="shared" si="3"/>
        <v/>
      </c>
      <c r="D717" s="46"/>
      <c r="E717" s="57" t="str">
        <f>IFERROR(__xludf.DUMMYFUNCTION("""COMPUTED_VALUE"""),"")</f>
        <v/>
      </c>
      <c r="F717" s="46" t="str">
        <f>IFERROR(__xludf.DUMMYFUNCTION("""COMPUTED_VALUE"""),"")</f>
        <v/>
      </c>
      <c r="G717" s="46"/>
      <c r="H717" s="46"/>
      <c r="I717" s="46"/>
      <c r="J717" s="46"/>
      <c r="K717" s="46"/>
      <c r="L717" s="46"/>
      <c r="M717" s="46"/>
      <c r="N717" s="46"/>
      <c r="O717" s="46"/>
      <c r="P717" s="46"/>
      <c r="Q717" s="46"/>
      <c r="R717" s="46"/>
      <c r="S717" s="46"/>
      <c r="T717" s="46"/>
      <c r="U717" s="46"/>
      <c r="V717" s="46"/>
      <c r="W717" s="46"/>
      <c r="X717" s="46"/>
      <c r="Y717" s="46"/>
      <c r="Z717" s="46"/>
      <c r="AA717" s="46"/>
    </row>
    <row r="718">
      <c r="A718" s="46"/>
      <c r="B718" s="46"/>
      <c r="C718" s="59" t="str">
        <f t="shared" si="3"/>
        <v/>
      </c>
      <c r="D718" s="46"/>
      <c r="E718" s="57" t="str">
        <f>IFERROR(__xludf.DUMMYFUNCTION("""COMPUTED_VALUE"""),"")</f>
        <v/>
      </c>
      <c r="F718" s="46" t="str">
        <f>IFERROR(__xludf.DUMMYFUNCTION("""COMPUTED_VALUE"""),"")</f>
        <v/>
      </c>
      <c r="G718" s="46"/>
      <c r="H718" s="46"/>
      <c r="I718" s="46"/>
      <c r="J718" s="46"/>
      <c r="K718" s="46"/>
      <c r="L718" s="46"/>
      <c r="M718" s="46"/>
      <c r="N718" s="46"/>
      <c r="O718" s="46"/>
      <c r="P718" s="46"/>
      <c r="Q718" s="46"/>
      <c r="R718" s="46"/>
      <c r="S718" s="46"/>
      <c r="T718" s="46"/>
      <c r="U718" s="46"/>
      <c r="V718" s="46"/>
      <c r="W718" s="46"/>
      <c r="X718" s="46"/>
      <c r="Y718" s="46"/>
      <c r="Z718" s="46"/>
      <c r="AA718" s="46"/>
    </row>
    <row r="719">
      <c r="A719" s="46"/>
      <c r="B719" s="46"/>
      <c r="C719" s="59" t="str">
        <f t="shared" si="3"/>
        <v/>
      </c>
      <c r="D719" s="46"/>
      <c r="E719" s="57" t="str">
        <f>IFERROR(__xludf.DUMMYFUNCTION("""COMPUTED_VALUE"""),"")</f>
        <v/>
      </c>
      <c r="F719" s="46" t="str">
        <f>IFERROR(__xludf.DUMMYFUNCTION("""COMPUTED_VALUE"""),"")</f>
        <v/>
      </c>
      <c r="G719" s="46"/>
      <c r="H719" s="46"/>
      <c r="I719" s="46"/>
      <c r="J719" s="46"/>
      <c r="K719" s="46"/>
      <c r="L719" s="46"/>
      <c r="M719" s="46"/>
      <c r="N719" s="46"/>
      <c r="O719" s="46"/>
      <c r="P719" s="46"/>
      <c r="Q719" s="46"/>
      <c r="R719" s="46"/>
      <c r="S719" s="46"/>
      <c r="T719" s="46"/>
      <c r="U719" s="46"/>
      <c r="V719" s="46"/>
      <c r="W719" s="46"/>
      <c r="X719" s="46"/>
      <c r="Y719" s="46"/>
      <c r="Z719" s="46"/>
      <c r="AA719" s="46"/>
    </row>
    <row r="720">
      <c r="A720" s="46"/>
      <c r="B720" s="46"/>
      <c r="C720" s="59" t="str">
        <f t="shared" si="3"/>
        <v/>
      </c>
      <c r="D720" s="46"/>
      <c r="E720" s="57" t="str">
        <f>IFERROR(__xludf.DUMMYFUNCTION("""COMPUTED_VALUE"""),"")</f>
        <v/>
      </c>
      <c r="F720" s="46" t="str">
        <f>IFERROR(__xludf.DUMMYFUNCTION("""COMPUTED_VALUE"""),"")</f>
        <v/>
      </c>
      <c r="G720" s="46"/>
      <c r="H720" s="46"/>
      <c r="I720" s="46"/>
      <c r="J720" s="46"/>
      <c r="K720" s="46"/>
      <c r="L720" s="46"/>
      <c r="M720" s="46"/>
      <c r="N720" s="46"/>
      <c r="O720" s="46"/>
      <c r="P720" s="46"/>
      <c r="Q720" s="46"/>
      <c r="R720" s="46"/>
      <c r="S720" s="46"/>
      <c r="T720" s="46"/>
      <c r="U720" s="46"/>
      <c r="V720" s="46"/>
      <c r="W720" s="46"/>
      <c r="X720" s="46"/>
      <c r="Y720" s="46"/>
      <c r="Z720" s="46"/>
      <c r="AA720" s="46"/>
    </row>
    <row r="721">
      <c r="A721" s="46"/>
      <c r="B721" s="46"/>
      <c r="C721" s="59" t="str">
        <f t="shared" si="3"/>
        <v/>
      </c>
      <c r="D721" s="46"/>
      <c r="E721" s="57" t="str">
        <f>IFERROR(__xludf.DUMMYFUNCTION("""COMPUTED_VALUE"""),"")</f>
        <v/>
      </c>
      <c r="F721" s="46" t="str">
        <f>IFERROR(__xludf.DUMMYFUNCTION("""COMPUTED_VALUE"""),"")</f>
        <v/>
      </c>
      <c r="G721" s="46"/>
      <c r="H721" s="46"/>
      <c r="I721" s="46"/>
      <c r="J721" s="46"/>
      <c r="K721" s="46"/>
      <c r="L721" s="46"/>
      <c r="M721" s="46"/>
      <c r="N721" s="46"/>
      <c r="O721" s="46"/>
      <c r="P721" s="46"/>
      <c r="Q721" s="46"/>
      <c r="R721" s="46"/>
      <c r="S721" s="46"/>
      <c r="T721" s="46"/>
      <c r="U721" s="46"/>
      <c r="V721" s="46"/>
      <c r="W721" s="46"/>
      <c r="X721" s="46"/>
      <c r="Y721" s="46"/>
      <c r="Z721" s="46"/>
      <c r="AA721" s="46"/>
    </row>
    <row r="722">
      <c r="A722" s="46"/>
      <c r="B722" s="46"/>
      <c r="C722" s="59" t="str">
        <f t="shared" si="3"/>
        <v/>
      </c>
      <c r="D722" s="46"/>
      <c r="E722" s="57" t="str">
        <f>IFERROR(__xludf.DUMMYFUNCTION("""COMPUTED_VALUE"""),"")</f>
        <v/>
      </c>
      <c r="F722" s="46" t="str">
        <f>IFERROR(__xludf.DUMMYFUNCTION("""COMPUTED_VALUE"""),"")</f>
        <v/>
      </c>
      <c r="G722" s="46"/>
      <c r="H722" s="46"/>
      <c r="I722" s="46"/>
      <c r="J722" s="46"/>
      <c r="K722" s="46"/>
      <c r="L722" s="46"/>
      <c r="M722" s="46"/>
      <c r="N722" s="46"/>
      <c r="O722" s="46"/>
      <c r="P722" s="46"/>
      <c r="Q722" s="46"/>
      <c r="R722" s="46"/>
      <c r="S722" s="46"/>
      <c r="T722" s="46"/>
      <c r="U722" s="46"/>
      <c r="V722" s="46"/>
      <c r="W722" s="46"/>
      <c r="X722" s="46"/>
      <c r="Y722" s="46"/>
      <c r="Z722" s="46"/>
      <c r="AA722" s="46"/>
    </row>
    <row r="723">
      <c r="A723" s="46"/>
      <c r="B723" s="46"/>
      <c r="C723" s="59" t="str">
        <f t="shared" si="3"/>
        <v/>
      </c>
      <c r="D723" s="46"/>
      <c r="E723" s="57" t="str">
        <f>IFERROR(__xludf.DUMMYFUNCTION("""COMPUTED_VALUE"""),"")</f>
        <v/>
      </c>
      <c r="F723" s="46" t="str">
        <f>IFERROR(__xludf.DUMMYFUNCTION("""COMPUTED_VALUE"""),"")</f>
        <v/>
      </c>
      <c r="G723" s="46"/>
      <c r="H723" s="46"/>
      <c r="I723" s="46"/>
      <c r="J723" s="46"/>
      <c r="K723" s="46"/>
      <c r="L723" s="46"/>
      <c r="M723" s="46"/>
      <c r="N723" s="46"/>
      <c r="O723" s="46"/>
      <c r="P723" s="46"/>
      <c r="Q723" s="46"/>
      <c r="R723" s="46"/>
      <c r="S723" s="46"/>
      <c r="T723" s="46"/>
      <c r="U723" s="46"/>
      <c r="V723" s="46"/>
      <c r="W723" s="46"/>
      <c r="X723" s="46"/>
      <c r="Y723" s="46"/>
      <c r="Z723" s="46"/>
      <c r="AA723" s="46"/>
    </row>
    <row r="724">
      <c r="A724" s="46"/>
      <c r="B724" s="46"/>
      <c r="C724" s="59" t="str">
        <f t="shared" si="3"/>
        <v/>
      </c>
      <c r="D724" s="46"/>
      <c r="E724" s="57" t="str">
        <f>IFERROR(__xludf.DUMMYFUNCTION("""COMPUTED_VALUE"""),"")</f>
        <v/>
      </c>
      <c r="F724" s="46" t="str">
        <f>IFERROR(__xludf.DUMMYFUNCTION("""COMPUTED_VALUE"""),"")</f>
        <v/>
      </c>
      <c r="G724" s="46"/>
      <c r="H724" s="46"/>
      <c r="I724" s="46"/>
      <c r="J724" s="46"/>
      <c r="K724" s="46"/>
      <c r="L724" s="46"/>
      <c r="M724" s="46"/>
      <c r="N724" s="46"/>
      <c r="O724" s="46"/>
      <c r="P724" s="46"/>
      <c r="Q724" s="46"/>
      <c r="R724" s="46"/>
      <c r="S724" s="46"/>
      <c r="T724" s="46"/>
      <c r="U724" s="46"/>
      <c r="V724" s="46"/>
      <c r="W724" s="46"/>
      <c r="X724" s="46"/>
      <c r="Y724" s="46"/>
      <c r="Z724" s="46"/>
      <c r="AA724" s="46"/>
    </row>
    <row r="725">
      <c r="A725" s="46"/>
      <c r="B725" s="46"/>
      <c r="C725" s="59" t="str">
        <f t="shared" si="3"/>
        <v/>
      </c>
      <c r="D725" s="46"/>
      <c r="E725" s="57" t="str">
        <f>IFERROR(__xludf.DUMMYFUNCTION("""COMPUTED_VALUE"""),"")</f>
        <v/>
      </c>
      <c r="F725" s="46" t="str">
        <f>IFERROR(__xludf.DUMMYFUNCTION("""COMPUTED_VALUE"""),"")</f>
        <v/>
      </c>
      <c r="G725" s="46"/>
      <c r="H725" s="46"/>
      <c r="I725" s="46"/>
      <c r="J725" s="46"/>
      <c r="K725" s="46"/>
      <c r="L725" s="46"/>
      <c r="M725" s="46"/>
      <c r="N725" s="46"/>
      <c r="O725" s="46"/>
      <c r="P725" s="46"/>
      <c r="Q725" s="46"/>
      <c r="R725" s="46"/>
      <c r="S725" s="46"/>
      <c r="T725" s="46"/>
      <c r="U725" s="46"/>
      <c r="V725" s="46"/>
      <c r="W725" s="46"/>
      <c r="X725" s="46"/>
      <c r="Y725" s="46"/>
      <c r="Z725" s="46"/>
      <c r="AA725" s="46"/>
    </row>
    <row r="726">
      <c r="A726" s="46"/>
      <c r="B726" s="46"/>
      <c r="C726" s="59" t="str">
        <f t="shared" si="3"/>
        <v/>
      </c>
      <c r="D726" s="46"/>
      <c r="E726" s="57" t="str">
        <f>IFERROR(__xludf.DUMMYFUNCTION("""COMPUTED_VALUE"""),"")</f>
        <v/>
      </c>
      <c r="F726" s="46" t="str">
        <f>IFERROR(__xludf.DUMMYFUNCTION("""COMPUTED_VALUE"""),"")</f>
        <v/>
      </c>
      <c r="G726" s="46"/>
      <c r="H726" s="46"/>
      <c r="I726" s="46"/>
      <c r="J726" s="46"/>
      <c r="K726" s="46"/>
      <c r="L726" s="46"/>
      <c r="M726" s="46"/>
      <c r="N726" s="46"/>
      <c r="O726" s="46"/>
      <c r="P726" s="46"/>
      <c r="Q726" s="46"/>
      <c r="R726" s="46"/>
      <c r="S726" s="46"/>
      <c r="T726" s="46"/>
      <c r="U726" s="46"/>
      <c r="V726" s="46"/>
      <c r="W726" s="46"/>
      <c r="X726" s="46"/>
      <c r="Y726" s="46"/>
      <c r="Z726" s="46"/>
      <c r="AA726" s="46"/>
    </row>
    <row r="727">
      <c r="A727" s="46"/>
      <c r="B727" s="46"/>
      <c r="C727" s="59" t="str">
        <f t="shared" si="3"/>
        <v/>
      </c>
      <c r="D727" s="46"/>
      <c r="E727" s="57" t="str">
        <f>IFERROR(__xludf.DUMMYFUNCTION("""COMPUTED_VALUE"""),"")</f>
        <v/>
      </c>
      <c r="F727" s="46" t="str">
        <f>IFERROR(__xludf.DUMMYFUNCTION("""COMPUTED_VALUE"""),"")</f>
        <v/>
      </c>
      <c r="G727" s="46"/>
      <c r="H727" s="46"/>
      <c r="I727" s="46"/>
      <c r="J727" s="46"/>
      <c r="K727" s="46"/>
      <c r="L727" s="46"/>
      <c r="M727" s="46"/>
      <c r="N727" s="46"/>
      <c r="O727" s="46"/>
      <c r="P727" s="46"/>
      <c r="Q727" s="46"/>
      <c r="R727" s="46"/>
      <c r="S727" s="46"/>
      <c r="T727" s="46"/>
      <c r="U727" s="46"/>
      <c r="V727" s="46"/>
      <c r="W727" s="46"/>
      <c r="X727" s="46"/>
      <c r="Y727" s="46"/>
      <c r="Z727" s="46"/>
      <c r="AA727" s="46"/>
    </row>
    <row r="728">
      <c r="A728" s="46"/>
      <c r="B728" s="46"/>
      <c r="C728" s="59" t="str">
        <f t="shared" si="3"/>
        <v/>
      </c>
      <c r="D728" s="46"/>
      <c r="E728" s="57" t="str">
        <f>IFERROR(__xludf.DUMMYFUNCTION("""COMPUTED_VALUE"""),"")</f>
        <v/>
      </c>
      <c r="F728" s="46" t="str">
        <f>IFERROR(__xludf.DUMMYFUNCTION("""COMPUTED_VALUE"""),"")</f>
        <v/>
      </c>
      <c r="G728" s="46"/>
      <c r="H728" s="46"/>
      <c r="I728" s="46"/>
      <c r="J728" s="46"/>
      <c r="K728" s="46"/>
      <c r="L728" s="46"/>
      <c r="M728" s="46"/>
      <c r="N728" s="46"/>
      <c r="O728" s="46"/>
      <c r="P728" s="46"/>
      <c r="Q728" s="46"/>
      <c r="R728" s="46"/>
      <c r="S728" s="46"/>
      <c r="T728" s="46"/>
      <c r="U728" s="46"/>
      <c r="V728" s="46"/>
      <c r="W728" s="46"/>
      <c r="X728" s="46"/>
      <c r="Y728" s="46"/>
      <c r="Z728" s="46"/>
      <c r="AA728" s="46"/>
    </row>
    <row r="729">
      <c r="A729" s="46"/>
      <c r="B729" s="46"/>
      <c r="C729" s="59" t="str">
        <f t="shared" si="3"/>
        <v/>
      </c>
      <c r="D729" s="46"/>
      <c r="E729" s="57" t="str">
        <f>IFERROR(__xludf.DUMMYFUNCTION("""COMPUTED_VALUE"""),"")</f>
        <v/>
      </c>
      <c r="F729" s="46" t="str">
        <f>IFERROR(__xludf.DUMMYFUNCTION("""COMPUTED_VALUE"""),"")</f>
        <v/>
      </c>
      <c r="G729" s="46"/>
      <c r="H729" s="46"/>
      <c r="I729" s="46"/>
      <c r="J729" s="46"/>
      <c r="K729" s="46"/>
      <c r="L729" s="46"/>
      <c r="M729" s="46"/>
      <c r="N729" s="46"/>
      <c r="O729" s="46"/>
      <c r="P729" s="46"/>
      <c r="Q729" s="46"/>
      <c r="R729" s="46"/>
      <c r="S729" s="46"/>
      <c r="T729" s="46"/>
      <c r="U729" s="46"/>
      <c r="V729" s="46"/>
      <c r="W729" s="46"/>
      <c r="X729" s="46"/>
      <c r="Y729" s="46"/>
      <c r="Z729" s="46"/>
      <c r="AA729" s="46"/>
    </row>
    <row r="730">
      <c r="A730" s="46"/>
      <c r="B730" s="46"/>
      <c r="C730" s="59" t="str">
        <f t="shared" si="3"/>
        <v/>
      </c>
      <c r="D730" s="46"/>
      <c r="E730" s="57" t="str">
        <f>IFERROR(__xludf.DUMMYFUNCTION("""COMPUTED_VALUE"""),"")</f>
        <v/>
      </c>
      <c r="F730" s="46" t="str">
        <f>IFERROR(__xludf.DUMMYFUNCTION("""COMPUTED_VALUE"""),"")</f>
        <v/>
      </c>
      <c r="G730" s="46"/>
      <c r="H730" s="46"/>
      <c r="I730" s="46"/>
      <c r="J730" s="46"/>
      <c r="K730" s="46"/>
      <c r="L730" s="46"/>
      <c r="M730" s="46"/>
      <c r="N730" s="46"/>
      <c r="O730" s="46"/>
      <c r="P730" s="46"/>
      <c r="Q730" s="46"/>
      <c r="R730" s="46"/>
      <c r="S730" s="46"/>
      <c r="T730" s="46"/>
      <c r="U730" s="46"/>
      <c r="V730" s="46"/>
      <c r="W730" s="46"/>
      <c r="X730" s="46"/>
      <c r="Y730" s="46"/>
      <c r="Z730" s="46"/>
      <c r="AA730" s="46"/>
    </row>
    <row r="731">
      <c r="A731" s="46"/>
      <c r="B731" s="46"/>
      <c r="C731" s="59" t="str">
        <f t="shared" si="3"/>
        <v/>
      </c>
      <c r="D731" s="46"/>
      <c r="E731" s="57" t="str">
        <f>IFERROR(__xludf.DUMMYFUNCTION("""COMPUTED_VALUE"""),"")</f>
        <v/>
      </c>
      <c r="F731" s="46" t="str">
        <f>IFERROR(__xludf.DUMMYFUNCTION("""COMPUTED_VALUE"""),"")</f>
        <v/>
      </c>
      <c r="G731" s="46"/>
      <c r="H731" s="46"/>
      <c r="I731" s="46"/>
      <c r="J731" s="46"/>
      <c r="K731" s="46"/>
      <c r="L731" s="46"/>
      <c r="M731" s="46"/>
      <c r="N731" s="46"/>
      <c r="O731" s="46"/>
      <c r="P731" s="46"/>
      <c r="Q731" s="46"/>
      <c r="R731" s="46"/>
      <c r="S731" s="46"/>
      <c r="T731" s="46"/>
      <c r="U731" s="46"/>
      <c r="V731" s="46"/>
      <c r="W731" s="46"/>
      <c r="X731" s="46"/>
      <c r="Y731" s="46"/>
      <c r="Z731" s="46"/>
      <c r="AA731" s="46"/>
    </row>
    <row r="732">
      <c r="A732" s="46"/>
      <c r="B732" s="46"/>
      <c r="C732" s="59" t="str">
        <f t="shared" si="3"/>
        <v/>
      </c>
      <c r="D732" s="46"/>
      <c r="E732" s="57" t="str">
        <f>IFERROR(__xludf.DUMMYFUNCTION("""COMPUTED_VALUE"""),"")</f>
        <v/>
      </c>
      <c r="F732" s="46" t="str">
        <f>IFERROR(__xludf.DUMMYFUNCTION("""COMPUTED_VALUE"""),"")</f>
        <v/>
      </c>
      <c r="G732" s="46"/>
      <c r="H732" s="46"/>
      <c r="I732" s="46"/>
      <c r="J732" s="46"/>
      <c r="K732" s="46"/>
      <c r="L732" s="46"/>
      <c r="M732" s="46"/>
      <c r="N732" s="46"/>
      <c r="O732" s="46"/>
      <c r="P732" s="46"/>
      <c r="Q732" s="46"/>
      <c r="R732" s="46"/>
      <c r="S732" s="46"/>
      <c r="T732" s="46"/>
      <c r="U732" s="46"/>
      <c r="V732" s="46"/>
      <c r="W732" s="46"/>
      <c r="X732" s="46"/>
      <c r="Y732" s="46"/>
      <c r="Z732" s="46"/>
      <c r="AA732" s="46"/>
    </row>
    <row r="733">
      <c r="A733" s="46"/>
      <c r="B733" s="46"/>
      <c r="C733" s="59" t="str">
        <f t="shared" si="3"/>
        <v/>
      </c>
      <c r="D733" s="46"/>
      <c r="E733" s="57" t="str">
        <f>IFERROR(__xludf.DUMMYFUNCTION("""COMPUTED_VALUE"""),"")</f>
        <v/>
      </c>
      <c r="F733" s="46" t="str">
        <f>IFERROR(__xludf.DUMMYFUNCTION("""COMPUTED_VALUE"""),"")</f>
        <v/>
      </c>
      <c r="G733" s="46"/>
      <c r="H733" s="46"/>
      <c r="I733" s="46"/>
      <c r="J733" s="46"/>
      <c r="K733" s="46"/>
      <c r="L733" s="46"/>
      <c r="M733" s="46"/>
      <c r="N733" s="46"/>
      <c r="O733" s="46"/>
      <c r="P733" s="46"/>
      <c r="Q733" s="46"/>
      <c r="R733" s="46"/>
      <c r="S733" s="46"/>
      <c r="T733" s="46"/>
      <c r="U733" s="46"/>
      <c r="V733" s="46"/>
      <c r="W733" s="46"/>
      <c r="X733" s="46"/>
      <c r="Y733" s="46"/>
      <c r="Z733" s="46"/>
      <c r="AA733" s="46"/>
    </row>
    <row r="734">
      <c r="A734" s="46"/>
      <c r="B734" s="46"/>
      <c r="C734" s="59" t="str">
        <f t="shared" si="3"/>
        <v/>
      </c>
      <c r="D734" s="46"/>
      <c r="E734" s="57" t="str">
        <f>IFERROR(__xludf.DUMMYFUNCTION("""COMPUTED_VALUE"""),"")</f>
        <v/>
      </c>
      <c r="F734" s="46" t="str">
        <f>IFERROR(__xludf.DUMMYFUNCTION("""COMPUTED_VALUE"""),"")</f>
        <v/>
      </c>
      <c r="G734" s="46"/>
      <c r="H734" s="46"/>
      <c r="I734" s="46"/>
      <c r="J734" s="46"/>
      <c r="K734" s="46"/>
      <c r="L734" s="46"/>
      <c r="M734" s="46"/>
      <c r="N734" s="46"/>
      <c r="O734" s="46"/>
      <c r="P734" s="46"/>
      <c r="Q734" s="46"/>
      <c r="R734" s="46"/>
      <c r="S734" s="46"/>
      <c r="T734" s="46"/>
      <c r="U734" s="46"/>
      <c r="V734" s="46"/>
      <c r="W734" s="46"/>
      <c r="X734" s="46"/>
      <c r="Y734" s="46"/>
      <c r="Z734" s="46"/>
      <c r="AA734" s="46"/>
    </row>
    <row r="735">
      <c r="A735" s="46"/>
      <c r="B735" s="46"/>
      <c r="C735" s="59" t="str">
        <f t="shared" si="3"/>
        <v/>
      </c>
      <c r="D735" s="46"/>
      <c r="E735" s="57" t="str">
        <f>IFERROR(__xludf.DUMMYFUNCTION("""COMPUTED_VALUE"""),"")</f>
        <v/>
      </c>
      <c r="F735" s="46" t="str">
        <f>IFERROR(__xludf.DUMMYFUNCTION("""COMPUTED_VALUE"""),"")</f>
        <v/>
      </c>
      <c r="G735" s="46"/>
      <c r="H735" s="46"/>
      <c r="I735" s="46"/>
      <c r="J735" s="46"/>
      <c r="K735" s="46"/>
      <c r="L735" s="46"/>
      <c r="M735" s="46"/>
      <c r="N735" s="46"/>
      <c r="O735" s="46"/>
      <c r="P735" s="46"/>
      <c r="Q735" s="46"/>
      <c r="R735" s="46"/>
      <c r="S735" s="46"/>
      <c r="T735" s="46"/>
      <c r="U735" s="46"/>
      <c r="V735" s="46"/>
      <c r="W735" s="46"/>
      <c r="X735" s="46"/>
      <c r="Y735" s="46"/>
      <c r="Z735" s="46"/>
      <c r="AA735" s="46"/>
    </row>
    <row r="736">
      <c r="A736" s="46"/>
      <c r="B736" s="46"/>
      <c r="C736" s="59" t="str">
        <f t="shared" si="3"/>
        <v/>
      </c>
      <c r="D736" s="46"/>
      <c r="E736" s="57" t="str">
        <f>IFERROR(__xludf.DUMMYFUNCTION("""COMPUTED_VALUE"""),"")</f>
        <v/>
      </c>
      <c r="F736" s="46" t="str">
        <f>IFERROR(__xludf.DUMMYFUNCTION("""COMPUTED_VALUE"""),"")</f>
        <v/>
      </c>
      <c r="G736" s="46"/>
      <c r="H736" s="46"/>
      <c r="I736" s="46"/>
      <c r="J736" s="46"/>
      <c r="K736" s="46"/>
      <c r="L736" s="46"/>
      <c r="M736" s="46"/>
      <c r="N736" s="46"/>
      <c r="O736" s="46"/>
      <c r="P736" s="46"/>
      <c r="Q736" s="46"/>
      <c r="R736" s="46"/>
      <c r="S736" s="46"/>
      <c r="T736" s="46"/>
      <c r="U736" s="46"/>
      <c r="V736" s="46"/>
      <c r="W736" s="46"/>
      <c r="X736" s="46"/>
      <c r="Y736" s="46"/>
      <c r="Z736" s="46"/>
      <c r="AA736" s="46"/>
    </row>
    <row r="737">
      <c r="A737" s="46"/>
      <c r="B737" s="46"/>
      <c r="C737" s="59" t="str">
        <f t="shared" si="3"/>
        <v/>
      </c>
      <c r="D737" s="46"/>
      <c r="E737" s="57" t="str">
        <f>IFERROR(__xludf.DUMMYFUNCTION("""COMPUTED_VALUE"""),"")</f>
        <v/>
      </c>
      <c r="F737" s="46" t="str">
        <f>IFERROR(__xludf.DUMMYFUNCTION("""COMPUTED_VALUE"""),"")</f>
        <v/>
      </c>
      <c r="G737" s="46"/>
      <c r="H737" s="46"/>
      <c r="I737" s="46"/>
      <c r="J737" s="46"/>
      <c r="K737" s="46"/>
      <c r="L737" s="46"/>
      <c r="M737" s="46"/>
      <c r="N737" s="46"/>
      <c r="O737" s="46"/>
      <c r="P737" s="46"/>
      <c r="Q737" s="46"/>
      <c r="R737" s="46"/>
      <c r="S737" s="46"/>
      <c r="T737" s="46"/>
      <c r="U737" s="46"/>
      <c r="V737" s="46"/>
      <c r="W737" s="46"/>
      <c r="X737" s="46"/>
      <c r="Y737" s="46"/>
      <c r="Z737" s="46"/>
      <c r="AA737" s="46"/>
    </row>
    <row r="738">
      <c r="A738" s="46"/>
      <c r="B738" s="46"/>
      <c r="C738" s="59" t="str">
        <f t="shared" si="3"/>
        <v/>
      </c>
      <c r="D738" s="46"/>
      <c r="E738" s="57" t="str">
        <f>IFERROR(__xludf.DUMMYFUNCTION("""COMPUTED_VALUE"""),"")</f>
        <v/>
      </c>
      <c r="F738" s="46" t="str">
        <f>IFERROR(__xludf.DUMMYFUNCTION("""COMPUTED_VALUE"""),"")</f>
        <v/>
      </c>
      <c r="G738" s="46"/>
      <c r="H738" s="46"/>
      <c r="I738" s="46"/>
      <c r="J738" s="46"/>
      <c r="K738" s="46"/>
      <c r="L738" s="46"/>
      <c r="M738" s="46"/>
      <c r="N738" s="46"/>
      <c r="O738" s="46"/>
      <c r="P738" s="46"/>
      <c r="Q738" s="46"/>
      <c r="R738" s="46"/>
      <c r="S738" s="46"/>
      <c r="T738" s="46"/>
      <c r="U738" s="46"/>
      <c r="V738" s="46"/>
      <c r="W738" s="46"/>
      <c r="X738" s="46"/>
      <c r="Y738" s="46"/>
      <c r="Z738" s="46"/>
      <c r="AA738" s="46"/>
    </row>
    <row r="739">
      <c r="A739" s="46"/>
      <c r="B739" s="46"/>
      <c r="C739" s="59" t="str">
        <f t="shared" si="3"/>
        <v/>
      </c>
      <c r="D739" s="46"/>
      <c r="E739" s="57" t="str">
        <f>IFERROR(__xludf.DUMMYFUNCTION("""COMPUTED_VALUE"""),"")</f>
        <v/>
      </c>
      <c r="F739" s="46" t="str">
        <f>IFERROR(__xludf.DUMMYFUNCTION("""COMPUTED_VALUE"""),"")</f>
        <v/>
      </c>
      <c r="G739" s="46"/>
      <c r="H739" s="46"/>
      <c r="I739" s="46"/>
      <c r="J739" s="46"/>
      <c r="K739" s="46"/>
      <c r="L739" s="46"/>
      <c r="M739" s="46"/>
      <c r="N739" s="46"/>
      <c r="O739" s="46"/>
      <c r="P739" s="46"/>
      <c r="Q739" s="46"/>
      <c r="R739" s="46"/>
      <c r="S739" s="46"/>
      <c r="T739" s="46"/>
      <c r="U739" s="46"/>
      <c r="V739" s="46"/>
      <c r="W739" s="46"/>
      <c r="X739" s="46"/>
      <c r="Y739" s="46"/>
      <c r="Z739" s="46"/>
      <c r="AA739" s="46"/>
    </row>
    <row r="740">
      <c r="A740" s="46"/>
      <c r="B740" s="46"/>
      <c r="C740" s="59" t="str">
        <f t="shared" si="3"/>
        <v/>
      </c>
      <c r="D740" s="46"/>
      <c r="E740" s="57" t="str">
        <f>IFERROR(__xludf.DUMMYFUNCTION("""COMPUTED_VALUE"""),"")</f>
        <v/>
      </c>
      <c r="F740" s="46" t="str">
        <f>IFERROR(__xludf.DUMMYFUNCTION("""COMPUTED_VALUE"""),"")</f>
        <v/>
      </c>
      <c r="G740" s="46"/>
      <c r="H740" s="46"/>
      <c r="I740" s="46"/>
      <c r="J740" s="46"/>
      <c r="K740" s="46"/>
      <c r="L740" s="46"/>
      <c r="M740" s="46"/>
      <c r="N740" s="46"/>
      <c r="O740" s="46"/>
      <c r="P740" s="46"/>
      <c r="Q740" s="46"/>
      <c r="R740" s="46"/>
      <c r="S740" s="46"/>
      <c r="T740" s="46"/>
      <c r="U740" s="46"/>
      <c r="V740" s="46"/>
      <c r="W740" s="46"/>
      <c r="X740" s="46"/>
      <c r="Y740" s="46"/>
      <c r="Z740" s="46"/>
      <c r="AA740" s="46"/>
    </row>
    <row r="741">
      <c r="A741" s="46"/>
      <c r="B741" s="46"/>
      <c r="C741" s="59" t="str">
        <f t="shared" si="3"/>
        <v/>
      </c>
      <c r="D741" s="46"/>
      <c r="E741" s="57" t="str">
        <f>IFERROR(__xludf.DUMMYFUNCTION("""COMPUTED_VALUE"""),"")</f>
        <v/>
      </c>
      <c r="F741" s="46" t="str">
        <f>IFERROR(__xludf.DUMMYFUNCTION("""COMPUTED_VALUE"""),"")</f>
        <v/>
      </c>
      <c r="G741" s="46"/>
      <c r="H741" s="46"/>
      <c r="I741" s="46"/>
      <c r="J741" s="46"/>
      <c r="K741" s="46"/>
      <c r="L741" s="46"/>
      <c r="M741" s="46"/>
      <c r="N741" s="46"/>
      <c r="O741" s="46"/>
      <c r="P741" s="46"/>
      <c r="Q741" s="46"/>
      <c r="R741" s="46"/>
      <c r="S741" s="46"/>
      <c r="T741" s="46"/>
      <c r="U741" s="46"/>
      <c r="V741" s="46"/>
      <c r="W741" s="46"/>
      <c r="X741" s="46"/>
      <c r="Y741" s="46"/>
      <c r="Z741" s="46"/>
      <c r="AA741" s="46"/>
    </row>
    <row r="742">
      <c r="A742" s="46"/>
      <c r="B742" s="46"/>
      <c r="C742" s="59" t="str">
        <f t="shared" si="3"/>
        <v/>
      </c>
      <c r="D742" s="46"/>
      <c r="E742" s="57" t="str">
        <f>IFERROR(__xludf.DUMMYFUNCTION("""COMPUTED_VALUE"""),"")</f>
        <v/>
      </c>
      <c r="F742" s="46" t="str">
        <f>IFERROR(__xludf.DUMMYFUNCTION("""COMPUTED_VALUE"""),"")</f>
        <v/>
      </c>
      <c r="G742" s="46"/>
      <c r="H742" s="46"/>
      <c r="I742" s="46"/>
      <c r="J742" s="46"/>
      <c r="K742" s="46"/>
      <c r="L742" s="46"/>
      <c r="M742" s="46"/>
      <c r="N742" s="46"/>
      <c r="O742" s="46"/>
      <c r="P742" s="46"/>
      <c r="Q742" s="46"/>
      <c r="R742" s="46"/>
      <c r="S742" s="46"/>
      <c r="T742" s="46"/>
      <c r="U742" s="46"/>
      <c r="V742" s="46"/>
      <c r="W742" s="46"/>
      <c r="X742" s="46"/>
      <c r="Y742" s="46"/>
      <c r="Z742" s="46"/>
      <c r="AA742" s="46"/>
    </row>
    <row r="743">
      <c r="A743" s="46"/>
      <c r="B743" s="46"/>
      <c r="C743" s="59" t="str">
        <f t="shared" si="3"/>
        <v/>
      </c>
      <c r="D743" s="46"/>
      <c r="E743" s="57" t="str">
        <f>IFERROR(__xludf.DUMMYFUNCTION("""COMPUTED_VALUE"""),"")</f>
        <v/>
      </c>
      <c r="F743" s="46" t="str">
        <f>IFERROR(__xludf.DUMMYFUNCTION("""COMPUTED_VALUE"""),"")</f>
        <v/>
      </c>
      <c r="G743" s="46"/>
      <c r="H743" s="46"/>
      <c r="I743" s="46"/>
      <c r="J743" s="46"/>
      <c r="K743" s="46"/>
      <c r="L743" s="46"/>
      <c r="M743" s="46"/>
      <c r="N743" s="46"/>
      <c r="O743" s="46"/>
      <c r="P743" s="46"/>
      <c r="Q743" s="46"/>
      <c r="R743" s="46"/>
      <c r="S743" s="46"/>
      <c r="T743" s="46"/>
      <c r="U743" s="46"/>
      <c r="V743" s="46"/>
      <c r="W743" s="46"/>
      <c r="X743" s="46"/>
      <c r="Y743" s="46"/>
      <c r="Z743" s="46"/>
      <c r="AA743" s="46"/>
    </row>
    <row r="744">
      <c r="A744" s="46"/>
      <c r="B744" s="46"/>
      <c r="C744" s="59" t="str">
        <f t="shared" si="3"/>
        <v/>
      </c>
      <c r="D744" s="46"/>
      <c r="E744" s="57" t="str">
        <f>IFERROR(__xludf.DUMMYFUNCTION("""COMPUTED_VALUE"""),"")</f>
        <v/>
      </c>
      <c r="F744" s="46" t="str">
        <f>IFERROR(__xludf.DUMMYFUNCTION("""COMPUTED_VALUE"""),"")</f>
        <v/>
      </c>
      <c r="G744" s="46"/>
      <c r="H744" s="46"/>
      <c r="I744" s="46"/>
      <c r="J744" s="46"/>
      <c r="K744" s="46"/>
      <c r="L744" s="46"/>
      <c r="M744" s="46"/>
      <c r="N744" s="46"/>
      <c r="O744" s="46"/>
      <c r="P744" s="46"/>
      <c r="Q744" s="46"/>
      <c r="R744" s="46"/>
      <c r="S744" s="46"/>
      <c r="T744" s="46"/>
      <c r="U744" s="46"/>
      <c r="V744" s="46"/>
      <c r="W744" s="46"/>
      <c r="X744" s="46"/>
      <c r="Y744" s="46"/>
      <c r="Z744" s="46"/>
      <c r="AA744" s="46"/>
    </row>
    <row r="745">
      <c r="A745" s="46"/>
      <c r="B745" s="46"/>
      <c r="C745" s="59" t="str">
        <f t="shared" si="3"/>
        <v/>
      </c>
      <c r="D745" s="46"/>
      <c r="E745" s="57" t="str">
        <f>IFERROR(__xludf.DUMMYFUNCTION("""COMPUTED_VALUE"""),"")</f>
        <v/>
      </c>
      <c r="F745" s="46" t="str">
        <f>IFERROR(__xludf.DUMMYFUNCTION("""COMPUTED_VALUE"""),"")</f>
        <v/>
      </c>
      <c r="G745" s="46"/>
      <c r="H745" s="46"/>
      <c r="I745" s="46"/>
      <c r="J745" s="46"/>
      <c r="K745" s="46"/>
      <c r="L745" s="46"/>
      <c r="M745" s="46"/>
      <c r="N745" s="46"/>
      <c r="O745" s="46"/>
      <c r="P745" s="46"/>
      <c r="Q745" s="46"/>
      <c r="R745" s="46"/>
      <c r="S745" s="46"/>
      <c r="T745" s="46"/>
      <c r="U745" s="46"/>
      <c r="V745" s="46"/>
      <c r="W745" s="46"/>
      <c r="X745" s="46"/>
      <c r="Y745" s="46"/>
      <c r="Z745" s="46"/>
      <c r="AA745" s="46"/>
    </row>
    <row r="746">
      <c r="A746" s="46"/>
      <c r="B746" s="46"/>
      <c r="C746" s="59" t="str">
        <f t="shared" si="3"/>
        <v/>
      </c>
      <c r="D746" s="46"/>
      <c r="E746" s="57" t="str">
        <f>IFERROR(__xludf.DUMMYFUNCTION("""COMPUTED_VALUE"""),"")</f>
        <v/>
      </c>
      <c r="F746" s="46" t="str">
        <f>IFERROR(__xludf.DUMMYFUNCTION("""COMPUTED_VALUE"""),"")</f>
        <v/>
      </c>
      <c r="G746" s="46"/>
      <c r="H746" s="46"/>
      <c r="I746" s="46"/>
      <c r="J746" s="46"/>
      <c r="K746" s="46"/>
      <c r="L746" s="46"/>
      <c r="M746" s="46"/>
      <c r="N746" s="46"/>
      <c r="O746" s="46"/>
      <c r="P746" s="46"/>
      <c r="Q746" s="46"/>
      <c r="R746" s="46"/>
      <c r="S746" s="46"/>
      <c r="T746" s="46"/>
      <c r="U746" s="46"/>
      <c r="V746" s="46"/>
      <c r="W746" s="46"/>
      <c r="X746" s="46"/>
      <c r="Y746" s="46"/>
      <c r="Z746" s="46"/>
      <c r="AA746" s="46"/>
    </row>
    <row r="747">
      <c r="A747" s="46"/>
      <c r="B747" s="46"/>
      <c r="C747" s="59" t="str">
        <f t="shared" si="3"/>
        <v/>
      </c>
      <c r="D747" s="46"/>
      <c r="E747" s="57" t="str">
        <f>IFERROR(__xludf.DUMMYFUNCTION("""COMPUTED_VALUE"""),"")</f>
        <v/>
      </c>
      <c r="F747" s="46" t="str">
        <f>IFERROR(__xludf.DUMMYFUNCTION("""COMPUTED_VALUE"""),"")</f>
        <v/>
      </c>
      <c r="G747" s="46"/>
      <c r="H747" s="46"/>
      <c r="I747" s="46"/>
      <c r="J747" s="46"/>
      <c r="K747" s="46"/>
      <c r="L747" s="46"/>
      <c r="M747" s="46"/>
      <c r="N747" s="46"/>
      <c r="O747" s="46"/>
      <c r="P747" s="46"/>
      <c r="Q747" s="46"/>
      <c r="R747" s="46"/>
      <c r="S747" s="46"/>
      <c r="T747" s="46"/>
      <c r="U747" s="46"/>
      <c r="V747" s="46"/>
      <c r="W747" s="46"/>
      <c r="X747" s="46"/>
      <c r="Y747" s="46"/>
      <c r="Z747" s="46"/>
      <c r="AA747" s="46"/>
    </row>
    <row r="748">
      <c r="A748" s="46"/>
      <c r="B748" s="46"/>
      <c r="C748" s="59" t="str">
        <f t="shared" si="3"/>
        <v/>
      </c>
      <c r="D748" s="46"/>
      <c r="E748" s="57" t="str">
        <f>IFERROR(__xludf.DUMMYFUNCTION("""COMPUTED_VALUE"""),"")</f>
        <v/>
      </c>
      <c r="F748" s="46" t="str">
        <f>IFERROR(__xludf.DUMMYFUNCTION("""COMPUTED_VALUE"""),"")</f>
        <v/>
      </c>
      <c r="G748" s="46"/>
      <c r="H748" s="46"/>
      <c r="I748" s="46"/>
      <c r="J748" s="46"/>
      <c r="K748" s="46"/>
      <c r="L748" s="46"/>
      <c r="M748" s="46"/>
      <c r="N748" s="46"/>
      <c r="O748" s="46"/>
      <c r="P748" s="46"/>
      <c r="Q748" s="46"/>
      <c r="R748" s="46"/>
      <c r="S748" s="46"/>
      <c r="T748" s="46"/>
      <c r="U748" s="46"/>
      <c r="V748" s="46"/>
      <c r="W748" s="46"/>
      <c r="X748" s="46"/>
      <c r="Y748" s="46"/>
      <c r="Z748" s="46"/>
      <c r="AA748" s="46"/>
    </row>
    <row r="749">
      <c r="A749" s="46"/>
      <c r="B749" s="46"/>
      <c r="C749" s="59" t="str">
        <f t="shared" si="3"/>
        <v/>
      </c>
      <c r="D749" s="46"/>
      <c r="E749" s="57" t="str">
        <f>IFERROR(__xludf.DUMMYFUNCTION("""COMPUTED_VALUE"""),"")</f>
        <v/>
      </c>
      <c r="F749" s="46" t="str">
        <f>IFERROR(__xludf.DUMMYFUNCTION("""COMPUTED_VALUE"""),"")</f>
        <v/>
      </c>
      <c r="G749" s="46"/>
      <c r="H749" s="46"/>
      <c r="I749" s="46"/>
      <c r="J749" s="46"/>
      <c r="K749" s="46"/>
      <c r="L749" s="46"/>
      <c r="M749" s="46"/>
      <c r="N749" s="46"/>
      <c r="O749" s="46"/>
      <c r="P749" s="46"/>
      <c r="Q749" s="46"/>
      <c r="R749" s="46"/>
      <c r="S749" s="46"/>
      <c r="T749" s="46"/>
      <c r="U749" s="46"/>
      <c r="V749" s="46"/>
      <c r="W749" s="46"/>
      <c r="X749" s="46"/>
      <c r="Y749" s="46"/>
      <c r="Z749" s="46"/>
      <c r="AA749" s="46"/>
    </row>
    <row r="750">
      <c r="A750" s="46"/>
      <c r="B750" s="46"/>
      <c r="C750" s="59" t="str">
        <f t="shared" si="3"/>
        <v/>
      </c>
      <c r="D750" s="46"/>
      <c r="E750" s="57" t="str">
        <f>IFERROR(__xludf.DUMMYFUNCTION("""COMPUTED_VALUE"""),"")</f>
        <v/>
      </c>
      <c r="F750" s="46" t="str">
        <f>IFERROR(__xludf.DUMMYFUNCTION("""COMPUTED_VALUE"""),"")</f>
        <v/>
      </c>
      <c r="G750" s="46"/>
      <c r="H750" s="46"/>
      <c r="I750" s="46"/>
      <c r="J750" s="46"/>
      <c r="K750" s="46"/>
      <c r="L750" s="46"/>
      <c r="M750" s="46"/>
      <c r="N750" s="46"/>
      <c r="O750" s="46"/>
      <c r="P750" s="46"/>
      <c r="Q750" s="46"/>
      <c r="R750" s="46"/>
      <c r="S750" s="46"/>
      <c r="T750" s="46"/>
      <c r="U750" s="46"/>
      <c r="V750" s="46"/>
      <c r="W750" s="46"/>
      <c r="X750" s="46"/>
      <c r="Y750" s="46"/>
      <c r="Z750" s="46"/>
      <c r="AA750" s="46"/>
    </row>
    <row r="751">
      <c r="A751" s="46"/>
      <c r="B751" s="46"/>
      <c r="C751" s="59" t="str">
        <f t="shared" si="3"/>
        <v/>
      </c>
      <c r="D751" s="46"/>
      <c r="E751" s="57" t="str">
        <f>IFERROR(__xludf.DUMMYFUNCTION("""COMPUTED_VALUE"""),"")</f>
        <v/>
      </c>
      <c r="F751" s="46" t="str">
        <f>IFERROR(__xludf.DUMMYFUNCTION("""COMPUTED_VALUE"""),"")</f>
        <v/>
      </c>
      <c r="G751" s="46"/>
      <c r="H751" s="46"/>
      <c r="I751" s="46"/>
      <c r="J751" s="46"/>
      <c r="K751" s="46"/>
      <c r="L751" s="46"/>
      <c r="M751" s="46"/>
      <c r="N751" s="46"/>
      <c r="O751" s="46"/>
      <c r="P751" s="46"/>
      <c r="Q751" s="46"/>
      <c r="R751" s="46"/>
      <c r="S751" s="46"/>
      <c r="T751" s="46"/>
      <c r="U751" s="46"/>
      <c r="V751" s="46"/>
      <c r="W751" s="46"/>
      <c r="X751" s="46"/>
      <c r="Y751" s="46"/>
      <c r="Z751" s="46"/>
      <c r="AA751" s="46"/>
    </row>
    <row r="752">
      <c r="A752" s="46"/>
      <c r="B752" s="46"/>
      <c r="C752" s="59" t="str">
        <f t="shared" si="3"/>
        <v/>
      </c>
      <c r="D752" s="46"/>
      <c r="E752" s="57" t="str">
        <f>IFERROR(__xludf.DUMMYFUNCTION("""COMPUTED_VALUE"""),"")</f>
        <v/>
      </c>
      <c r="F752" s="46" t="str">
        <f>IFERROR(__xludf.DUMMYFUNCTION("""COMPUTED_VALUE"""),"")</f>
        <v/>
      </c>
      <c r="G752" s="46"/>
      <c r="H752" s="46"/>
      <c r="I752" s="46"/>
      <c r="J752" s="46"/>
      <c r="K752" s="46"/>
      <c r="L752" s="46"/>
      <c r="M752" s="46"/>
      <c r="N752" s="46"/>
      <c r="O752" s="46"/>
      <c r="P752" s="46"/>
      <c r="Q752" s="46"/>
      <c r="R752" s="46"/>
      <c r="S752" s="46"/>
      <c r="T752" s="46"/>
      <c r="U752" s="46"/>
      <c r="V752" s="46"/>
      <c r="W752" s="46"/>
      <c r="X752" s="46"/>
      <c r="Y752" s="46"/>
      <c r="Z752" s="46"/>
      <c r="AA752" s="46"/>
    </row>
    <row r="753">
      <c r="A753" s="46"/>
      <c r="B753" s="46"/>
      <c r="C753" s="59" t="str">
        <f t="shared" si="3"/>
        <v/>
      </c>
      <c r="D753" s="46"/>
      <c r="E753" s="57" t="str">
        <f>IFERROR(__xludf.DUMMYFUNCTION("""COMPUTED_VALUE"""),"")</f>
        <v/>
      </c>
      <c r="F753" s="46" t="str">
        <f>IFERROR(__xludf.DUMMYFUNCTION("""COMPUTED_VALUE"""),"")</f>
        <v/>
      </c>
      <c r="G753" s="46"/>
      <c r="H753" s="46"/>
      <c r="I753" s="46"/>
      <c r="J753" s="46"/>
      <c r="K753" s="46"/>
      <c r="L753" s="46"/>
      <c r="M753" s="46"/>
      <c r="N753" s="46"/>
      <c r="O753" s="46"/>
      <c r="P753" s="46"/>
      <c r="Q753" s="46"/>
      <c r="R753" s="46"/>
      <c r="S753" s="46"/>
      <c r="T753" s="46"/>
      <c r="U753" s="46"/>
      <c r="V753" s="46"/>
      <c r="W753" s="46"/>
      <c r="X753" s="46"/>
      <c r="Y753" s="46"/>
      <c r="Z753" s="46"/>
      <c r="AA753" s="46"/>
    </row>
    <row r="754">
      <c r="A754" s="46"/>
      <c r="B754" s="46"/>
      <c r="C754" s="59" t="str">
        <f t="shared" si="3"/>
        <v/>
      </c>
      <c r="D754" s="46"/>
      <c r="E754" s="57" t="str">
        <f>IFERROR(__xludf.DUMMYFUNCTION("""COMPUTED_VALUE"""),"")</f>
        <v/>
      </c>
      <c r="F754" s="46" t="str">
        <f>IFERROR(__xludf.DUMMYFUNCTION("""COMPUTED_VALUE"""),"")</f>
        <v/>
      </c>
      <c r="G754" s="46"/>
      <c r="H754" s="46"/>
      <c r="I754" s="46"/>
      <c r="J754" s="46"/>
      <c r="K754" s="46"/>
      <c r="L754" s="46"/>
      <c r="M754" s="46"/>
      <c r="N754" s="46"/>
      <c r="O754" s="46"/>
      <c r="P754" s="46"/>
      <c r="Q754" s="46"/>
      <c r="R754" s="46"/>
      <c r="S754" s="46"/>
      <c r="T754" s="46"/>
      <c r="U754" s="46"/>
      <c r="V754" s="46"/>
      <c r="W754" s="46"/>
      <c r="X754" s="46"/>
      <c r="Y754" s="46"/>
      <c r="Z754" s="46"/>
      <c r="AA754" s="46"/>
    </row>
    <row r="755">
      <c r="A755" s="46"/>
      <c r="B755" s="46"/>
      <c r="C755" s="59" t="str">
        <f t="shared" si="3"/>
        <v/>
      </c>
      <c r="D755" s="46"/>
      <c r="E755" s="57" t="str">
        <f>IFERROR(__xludf.DUMMYFUNCTION("""COMPUTED_VALUE"""),"")</f>
        <v/>
      </c>
      <c r="F755" s="46" t="str">
        <f>IFERROR(__xludf.DUMMYFUNCTION("""COMPUTED_VALUE"""),"")</f>
        <v/>
      </c>
      <c r="G755" s="46"/>
      <c r="H755" s="46"/>
      <c r="I755" s="46"/>
      <c r="J755" s="46"/>
      <c r="K755" s="46"/>
      <c r="L755" s="46"/>
      <c r="M755" s="46"/>
      <c r="N755" s="46"/>
      <c r="O755" s="46"/>
      <c r="P755" s="46"/>
      <c r="Q755" s="46"/>
      <c r="R755" s="46"/>
      <c r="S755" s="46"/>
      <c r="T755" s="46"/>
      <c r="U755" s="46"/>
      <c r="V755" s="46"/>
      <c r="W755" s="46"/>
      <c r="X755" s="46"/>
      <c r="Y755" s="46"/>
      <c r="Z755" s="46"/>
      <c r="AA755" s="46"/>
    </row>
    <row r="756">
      <c r="A756" s="46"/>
      <c r="B756" s="46"/>
      <c r="C756" s="59" t="str">
        <f t="shared" si="3"/>
        <v/>
      </c>
      <c r="D756" s="46"/>
      <c r="E756" s="57" t="str">
        <f>IFERROR(__xludf.DUMMYFUNCTION("""COMPUTED_VALUE"""),"")</f>
        <v/>
      </c>
      <c r="F756" s="46" t="str">
        <f>IFERROR(__xludf.DUMMYFUNCTION("""COMPUTED_VALUE"""),"")</f>
        <v/>
      </c>
      <c r="G756" s="46"/>
      <c r="H756" s="46"/>
      <c r="I756" s="46"/>
      <c r="J756" s="46"/>
      <c r="K756" s="46"/>
      <c r="L756" s="46"/>
      <c r="M756" s="46"/>
      <c r="N756" s="46"/>
      <c r="O756" s="46"/>
      <c r="P756" s="46"/>
      <c r="Q756" s="46"/>
      <c r="R756" s="46"/>
      <c r="S756" s="46"/>
      <c r="T756" s="46"/>
      <c r="U756" s="46"/>
      <c r="V756" s="46"/>
      <c r="W756" s="46"/>
      <c r="X756" s="46"/>
      <c r="Y756" s="46"/>
      <c r="Z756" s="46"/>
      <c r="AA756" s="46"/>
    </row>
    <row r="757">
      <c r="A757" s="46"/>
      <c r="B757" s="46"/>
      <c r="C757" s="59" t="str">
        <f t="shared" si="3"/>
        <v/>
      </c>
      <c r="D757" s="46"/>
      <c r="E757" s="57" t="str">
        <f>IFERROR(__xludf.DUMMYFUNCTION("""COMPUTED_VALUE"""),"")</f>
        <v/>
      </c>
      <c r="F757" s="46" t="str">
        <f>IFERROR(__xludf.DUMMYFUNCTION("""COMPUTED_VALUE"""),"")</f>
        <v/>
      </c>
      <c r="G757" s="46"/>
      <c r="H757" s="46"/>
      <c r="I757" s="46"/>
      <c r="J757" s="46"/>
      <c r="K757" s="46"/>
      <c r="L757" s="46"/>
      <c r="M757" s="46"/>
      <c r="N757" s="46"/>
      <c r="O757" s="46"/>
      <c r="P757" s="46"/>
      <c r="Q757" s="46"/>
      <c r="R757" s="46"/>
      <c r="S757" s="46"/>
      <c r="T757" s="46"/>
      <c r="U757" s="46"/>
      <c r="V757" s="46"/>
      <c r="W757" s="46"/>
      <c r="X757" s="46"/>
      <c r="Y757" s="46"/>
      <c r="Z757" s="46"/>
      <c r="AA757" s="46"/>
    </row>
    <row r="758">
      <c r="A758" s="46"/>
      <c r="B758" s="46"/>
      <c r="C758" s="59" t="str">
        <f t="shared" si="3"/>
        <v/>
      </c>
      <c r="D758" s="46"/>
      <c r="E758" s="57" t="str">
        <f>IFERROR(__xludf.DUMMYFUNCTION("""COMPUTED_VALUE"""),"")</f>
        <v/>
      </c>
      <c r="F758" s="46" t="str">
        <f>IFERROR(__xludf.DUMMYFUNCTION("""COMPUTED_VALUE"""),"")</f>
        <v/>
      </c>
      <c r="G758" s="46"/>
      <c r="H758" s="46"/>
      <c r="I758" s="46"/>
      <c r="J758" s="46"/>
      <c r="K758" s="46"/>
      <c r="L758" s="46"/>
      <c r="M758" s="46"/>
      <c r="N758" s="46"/>
      <c r="O758" s="46"/>
      <c r="P758" s="46"/>
      <c r="Q758" s="46"/>
      <c r="R758" s="46"/>
      <c r="S758" s="46"/>
      <c r="T758" s="46"/>
      <c r="U758" s="46"/>
      <c r="V758" s="46"/>
      <c r="W758" s="46"/>
      <c r="X758" s="46"/>
      <c r="Y758" s="46"/>
      <c r="Z758" s="46"/>
      <c r="AA758" s="46"/>
    </row>
    <row r="759">
      <c r="A759" s="46"/>
      <c r="B759" s="46"/>
      <c r="C759" s="59" t="str">
        <f t="shared" si="3"/>
        <v/>
      </c>
      <c r="D759" s="46"/>
      <c r="E759" s="57" t="str">
        <f>IFERROR(__xludf.DUMMYFUNCTION("""COMPUTED_VALUE"""),"")</f>
        <v/>
      </c>
      <c r="F759" s="46" t="str">
        <f>IFERROR(__xludf.DUMMYFUNCTION("""COMPUTED_VALUE"""),"")</f>
        <v/>
      </c>
      <c r="G759" s="46"/>
      <c r="H759" s="46"/>
      <c r="I759" s="46"/>
      <c r="J759" s="46"/>
      <c r="K759" s="46"/>
      <c r="L759" s="46"/>
      <c r="M759" s="46"/>
      <c r="N759" s="46"/>
      <c r="O759" s="46"/>
      <c r="P759" s="46"/>
      <c r="Q759" s="46"/>
      <c r="R759" s="46"/>
      <c r="S759" s="46"/>
      <c r="T759" s="46"/>
      <c r="U759" s="46"/>
      <c r="V759" s="46"/>
      <c r="W759" s="46"/>
      <c r="X759" s="46"/>
      <c r="Y759" s="46"/>
      <c r="Z759" s="46"/>
      <c r="AA759" s="46"/>
    </row>
    <row r="760">
      <c r="A760" s="46"/>
      <c r="B760" s="46"/>
      <c r="C760" s="59" t="str">
        <f t="shared" si="3"/>
        <v/>
      </c>
      <c r="D760" s="46"/>
      <c r="E760" s="57" t="str">
        <f>IFERROR(__xludf.DUMMYFUNCTION("""COMPUTED_VALUE"""),"")</f>
        <v/>
      </c>
      <c r="F760" s="46" t="str">
        <f>IFERROR(__xludf.DUMMYFUNCTION("""COMPUTED_VALUE"""),"")</f>
        <v/>
      </c>
      <c r="G760" s="46"/>
      <c r="H760" s="46"/>
      <c r="I760" s="46"/>
      <c r="J760" s="46"/>
      <c r="K760" s="46"/>
      <c r="L760" s="46"/>
      <c r="M760" s="46"/>
      <c r="N760" s="46"/>
      <c r="O760" s="46"/>
      <c r="P760" s="46"/>
      <c r="Q760" s="46"/>
      <c r="R760" s="46"/>
      <c r="S760" s="46"/>
      <c r="T760" s="46"/>
      <c r="U760" s="46"/>
      <c r="V760" s="46"/>
      <c r="W760" s="46"/>
      <c r="X760" s="46"/>
      <c r="Y760" s="46"/>
      <c r="Z760" s="46"/>
      <c r="AA760" s="46"/>
    </row>
    <row r="761">
      <c r="A761" s="46"/>
      <c r="B761" s="46"/>
      <c r="C761" s="59" t="str">
        <f t="shared" si="3"/>
        <v/>
      </c>
      <c r="D761" s="46"/>
      <c r="E761" s="57" t="str">
        <f>IFERROR(__xludf.DUMMYFUNCTION("""COMPUTED_VALUE"""),"")</f>
        <v/>
      </c>
      <c r="F761" s="46" t="str">
        <f>IFERROR(__xludf.DUMMYFUNCTION("""COMPUTED_VALUE"""),"")</f>
        <v/>
      </c>
      <c r="G761" s="46"/>
      <c r="H761" s="46"/>
      <c r="I761" s="46"/>
      <c r="J761" s="46"/>
      <c r="K761" s="46"/>
      <c r="L761" s="46"/>
      <c r="M761" s="46"/>
      <c r="N761" s="46"/>
      <c r="O761" s="46"/>
      <c r="P761" s="46"/>
      <c r="Q761" s="46"/>
      <c r="R761" s="46"/>
      <c r="S761" s="46"/>
      <c r="T761" s="46"/>
      <c r="U761" s="46"/>
      <c r="V761" s="46"/>
      <c r="W761" s="46"/>
      <c r="X761" s="46"/>
      <c r="Y761" s="46"/>
      <c r="Z761" s="46"/>
      <c r="AA761" s="46"/>
    </row>
    <row r="762">
      <c r="A762" s="46"/>
      <c r="B762" s="46"/>
      <c r="C762" s="59" t="str">
        <f t="shared" si="3"/>
        <v/>
      </c>
      <c r="D762" s="46"/>
      <c r="E762" s="57" t="str">
        <f>IFERROR(__xludf.DUMMYFUNCTION("""COMPUTED_VALUE"""),"")</f>
        <v/>
      </c>
      <c r="F762" s="46" t="str">
        <f>IFERROR(__xludf.DUMMYFUNCTION("""COMPUTED_VALUE"""),"")</f>
        <v/>
      </c>
      <c r="G762" s="46"/>
      <c r="H762" s="46"/>
      <c r="I762" s="46"/>
      <c r="J762" s="46"/>
      <c r="K762" s="46"/>
      <c r="L762" s="46"/>
      <c r="M762" s="46"/>
      <c r="N762" s="46"/>
      <c r="O762" s="46"/>
      <c r="P762" s="46"/>
      <c r="Q762" s="46"/>
      <c r="R762" s="46"/>
      <c r="S762" s="46"/>
      <c r="T762" s="46"/>
      <c r="U762" s="46"/>
      <c r="V762" s="46"/>
      <c r="W762" s="46"/>
      <c r="X762" s="46"/>
      <c r="Y762" s="46"/>
      <c r="Z762" s="46"/>
      <c r="AA762" s="46"/>
    </row>
    <row r="763">
      <c r="A763" s="46"/>
      <c r="B763" s="46"/>
      <c r="C763" s="59" t="str">
        <f t="shared" si="3"/>
        <v/>
      </c>
      <c r="D763" s="46"/>
      <c r="E763" s="57" t="str">
        <f>IFERROR(__xludf.DUMMYFUNCTION("""COMPUTED_VALUE"""),"")</f>
        <v/>
      </c>
      <c r="F763" s="46" t="str">
        <f>IFERROR(__xludf.DUMMYFUNCTION("""COMPUTED_VALUE"""),"")</f>
        <v/>
      </c>
      <c r="G763" s="46"/>
      <c r="H763" s="46"/>
      <c r="I763" s="46"/>
      <c r="J763" s="46"/>
      <c r="K763" s="46"/>
      <c r="L763" s="46"/>
      <c r="M763" s="46"/>
      <c r="N763" s="46"/>
      <c r="O763" s="46"/>
      <c r="P763" s="46"/>
      <c r="Q763" s="46"/>
      <c r="R763" s="46"/>
      <c r="S763" s="46"/>
      <c r="T763" s="46"/>
      <c r="U763" s="46"/>
      <c r="V763" s="46"/>
      <c r="W763" s="46"/>
      <c r="X763" s="46"/>
      <c r="Y763" s="46"/>
      <c r="Z763" s="46"/>
      <c r="AA763" s="46"/>
    </row>
    <row r="764">
      <c r="A764" s="46"/>
      <c r="B764" s="46"/>
      <c r="C764" s="59" t="str">
        <f t="shared" si="3"/>
        <v/>
      </c>
      <c r="D764" s="46"/>
      <c r="E764" s="57" t="str">
        <f>IFERROR(__xludf.DUMMYFUNCTION("""COMPUTED_VALUE"""),"")</f>
        <v/>
      </c>
      <c r="F764" s="46" t="str">
        <f>IFERROR(__xludf.DUMMYFUNCTION("""COMPUTED_VALUE"""),"")</f>
        <v/>
      </c>
      <c r="G764" s="46"/>
      <c r="H764" s="46"/>
      <c r="I764" s="46"/>
      <c r="J764" s="46"/>
      <c r="K764" s="46"/>
      <c r="L764" s="46"/>
      <c r="M764" s="46"/>
      <c r="N764" s="46"/>
      <c r="O764" s="46"/>
      <c r="P764" s="46"/>
      <c r="Q764" s="46"/>
      <c r="R764" s="46"/>
      <c r="S764" s="46"/>
      <c r="T764" s="46"/>
      <c r="U764" s="46"/>
      <c r="V764" s="46"/>
      <c r="W764" s="46"/>
      <c r="X764" s="46"/>
      <c r="Y764" s="46"/>
      <c r="Z764" s="46"/>
      <c r="AA764" s="46"/>
    </row>
    <row r="765">
      <c r="A765" s="46"/>
      <c r="B765" s="46"/>
      <c r="C765" s="59" t="str">
        <f t="shared" si="3"/>
        <v/>
      </c>
      <c r="D765" s="46"/>
      <c r="E765" s="57" t="str">
        <f>IFERROR(__xludf.DUMMYFUNCTION("""COMPUTED_VALUE"""),"")</f>
        <v/>
      </c>
      <c r="F765" s="46" t="str">
        <f>IFERROR(__xludf.DUMMYFUNCTION("""COMPUTED_VALUE"""),"")</f>
        <v/>
      </c>
      <c r="G765" s="46"/>
      <c r="H765" s="46"/>
      <c r="I765" s="46"/>
      <c r="J765" s="46"/>
      <c r="K765" s="46"/>
      <c r="L765" s="46"/>
      <c r="M765" s="46"/>
      <c r="N765" s="46"/>
      <c r="O765" s="46"/>
      <c r="P765" s="46"/>
      <c r="Q765" s="46"/>
      <c r="R765" s="46"/>
      <c r="S765" s="46"/>
      <c r="T765" s="46"/>
      <c r="U765" s="46"/>
      <c r="V765" s="46"/>
      <c r="W765" s="46"/>
      <c r="X765" s="46"/>
      <c r="Y765" s="46"/>
      <c r="Z765" s="46"/>
      <c r="AA765" s="46"/>
    </row>
    <row r="766">
      <c r="A766" s="46"/>
      <c r="B766" s="46"/>
      <c r="C766" s="59" t="str">
        <f t="shared" si="3"/>
        <v/>
      </c>
      <c r="D766" s="46"/>
      <c r="E766" s="57" t="str">
        <f>IFERROR(__xludf.DUMMYFUNCTION("""COMPUTED_VALUE"""),"")</f>
        <v/>
      </c>
      <c r="F766" s="46" t="str">
        <f>IFERROR(__xludf.DUMMYFUNCTION("""COMPUTED_VALUE"""),"")</f>
        <v/>
      </c>
      <c r="G766" s="46"/>
      <c r="H766" s="46"/>
      <c r="I766" s="46"/>
      <c r="J766" s="46"/>
      <c r="K766" s="46"/>
      <c r="L766" s="46"/>
      <c r="M766" s="46"/>
      <c r="N766" s="46"/>
      <c r="O766" s="46"/>
      <c r="P766" s="46"/>
      <c r="Q766" s="46"/>
      <c r="R766" s="46"/>
      <c r="S766" s="46"/>
      <c r="T766" s="46"/>
      <c r="U766" s="46"/>
      <c r="V766" s="46"/>
      <c r="W766" s="46"/>
      <c r="X766" s="46"/>
      <c r="Y766" s="46"/>
      <c r="Z766" s="46"/>
      <c r="AA766" s="46"/>
    </row>
    <row r="767">
      <c r="A767" s="46"/>
      <c r="B767" s="46"/>
      <c r="C767" s="59" t="str">
        <f t="shared" si="3"/>
        <v/>
      </c>
      <c r="D767" s="46"/>
      <c r="E767" s="57" t="str">
        <f>IFERROR(__xludf.DUMMYFUNCTION("""COMPUTED_VALUE"""),"")</f>
        <v/>
      </c>
      <c r="F767" s="46" t="str">
        <f>IFERROR(__xludf.DUMMYFUNCTION("""COMPUTED_VALUE"""),"")</f>
        <v/>
      </c>
      <c r="G767" s="46"/>
      <c r="H767" s="46"/>
      <c r="I767" s="46"/>
      <c r="J767" s="46"/>
      <c r="K767" s="46"/>
      <c r="L767" s="46"/>
      <c r="M767" s="46"/>
      <c r="N767" s="46"/>
      <c r="O767" s="46"/>
      <c r="P767" s="46"/>
      <c r="Q767" s="46"/>
      <c r="R767" s="46"/>
      <c r="S767" s="46"/>
      <c r="T767" s="46"/>
      <c r="U767" s="46"/>
      <c r="V767" s="46"/>
      <c r="W767" s="46"/>
      <c r="X767" s="46"/>
      <c r="Y767" s="46"/>
      <c r="Z767" s="46"/>
      <c r="AA767" s="46"/>
    </row>
    <row r="768">
      <c r="A768" s="46"/>
      <c r="B768" s="46"/>
      <c r="C768" s="59" t="str">
        <f t="shared" si="3"/>
        <v/>
      </c>
      <c r="D768" s="46"/>
      <c r="E768" s="57" t="str">
        <f>IFERROR(__xludf.DUMMYFUNCTION("""COMPUTED_VALUE"""),"")</f>
        <v/>
      </c>
      <c r="F768" s="46" t="str">
        <f>IFERROR(__xludf.DUMMYFUNCTION("""COMPUTED_VALUE"""),"")</f>
        <v/>
      </c>
      <c r="G768" s="46"/>
      <c r="H768" s="46"/>
      <c r="I768" s="46"/>
      <c r="J768" s="46"/>
      <c r="K768" s="46"/>
      <c r="L768" s="46"/>
      <c r="M768" s="46"/>
      <c r="N768" s="46"/>
      <c r="O768" s="46"/>
      <c r="P768" s="46"/>
      <c r="Q768" s="46"/>
      <c r="R768" s="46"/>
      <c r="S768" s="46"/>
      <c r="T768" s="46"/>
      <c r="U768" s="46"/>
      <c r="V768" s="46"/>
      <c r="W768" s="46"/>
      <c r="X768" s="46"/>
      <c r="Y768" s="46"/>
      <c r="Z768" s="46"/>
      <c r="AA768" s="46"/>
    </row>
    <row r="769">
      <c r="A769" s="46"/>
      <c r="B769" s="46"/>
      <c r="C769" s="59" t="str">
        <f t="shared" si="3"/>
        <v/>
      </c>
      <c r="D769" s="46"/>
      <c r="E769" s="57" t="str">
        <f>IFERROR(__xludf.DUMMYFUNCTION("""COMPUTED_VALUE"""),"")</f>
        <v/>
      </c>
      <c r="F769" s="46" t="str">
        <f>IFERROR(__xludf.DUMMYFUNCTION("""COMPUTED_VALUE"""),"")</f>
        <v/>
      </c>
      <c r="G769" s="46"/>
      <c r="H769" s="46"/>
      <c r="I769" s="46"/>
      <c r="J769" s="46"/>
      <c r="K769" s="46"/>
      <c r="L769" s="46"/>
      <c r="M769" s="46"/>
      <c r="N769" s="46"/>
      <c r="O769" s="46"/>
      <c r="P769" s="46"/>
      <c r="Q769" s="46"/>
      <c r="R769" s="46"/>
      <c r="S769" s="46"/>
      <c r="T769" s="46"/>
      <c r="U769" s="46"/>
      <c r="V769" s="46"/>
      <c r="W769" s="46"/>
      <c r="X769" s="46"/>
      <c r="Y769" s="46"/>
      <c r="Z769" s="46"/>
      <c r="AA769" s="46"/>
    </row>
    <row r="770">
      <c r="A770" s="46"/>
      <c r="B770" s="46"/>
      <c r="C770" s="59" t="str">
        <f t="shared" si="3"/>
        <v/>
      </c>
      <c r="D770" s="46"/>
      <c r="E770" s="57" t="str">
        <f>IFERROR(__xludf.DUMMYFUNCTION("""COMPUTED_VALUE"""),"")</f>
        <v/>
      </c>
      <c r="F770" s="46" t="str">
        <f>IFERROR(__xludf.DUMMYFUNCTION("""COMPUTED_VALUE"""),"")</f>
        <v/>
      </c>
      <c r="G770" s="46"/>
      <c r="H770" s="46"/>
      <c r="I770" s="46"/>
      <c r="J770" s="46"/>
      <c r="K770" s="46"/>
      <c r="L770" s="46"/>
      <c r="M770" s="46"/>
      <c r="N770" s="46"/>
      <c r="O770" s="46"/>
      <c r="P770" s="46"/>
      <c r="Q770" s="46"/>
      <c r="R770" s="46"/>
      <c r="S770" s="46"/>
      <c r="T770" s="46"/>
      <c r="U770" s="46"/>
      <c r="V770" s="46"/>
      <c r="W770" s="46"/>
      <c r="X770" s="46"/>
      <c r="Y770" s="46"/>
      <c r="Z770" s="46"/>
      <c r="AA770" s="46"/>
    </row>
    <row r="771">
      <c r="A771" s="46"/>
      <c r="B771" s="46"/>
      <c r="C771" s="59" t="str">
        <f t="shared" si="3"/>
        <v/>
      </c>
      <c r="D771" s="46"/>
      <c r="E771" s="57" t="str">
        <f>IFERROR(__xludf.DUMMYFUNCTION("""COMPUTED_VALUE"""),"")</f>
        <v/>
      </c>
      <c r="F771" s="46" t="str">
        <f>IFERROR(__xludf.DUMMYFUNCTION("""COMPUTED_VALUE"""),"")</f>
        <v/>
      </c>
      <c r="G771" s="46"/>
      <c r="H771" s="46"/>
      <c r="I771" s="46"/>
      <c r="J771" s="46"/>
      <c r="K771" s="46"/>
      <c r="L771" s="46"/>
      <c r="M771" s="46"/>
      <c r="N771" s="46"/>
      <c r="O771" s="46"/>
      <c r="P771" s="46"/>
      <c r="Q771" s="46"/>
      <c r="R771" s="46"/>
      <c r="S771" s="46"/>
      <c r="T771" s="46"/>
      <c r="U771" s="46"/>
      <c r="V771" s="46"/>
      <c r="W771" s="46"/>
      <c r="X771" s="46"/>
      <c r="Y771" s="46"/>
      <c r="Z771" s="46"/>
      <c r="AA771" s="46"/>
    </row>
    <row r="772">
      <c r="A772" s="46"/>
      <c r="B772" s="46"/>
      <c r="C772" s="59" t="str">
        <f t="shared" si="3"/>
        <v/>
      </c>
      <c r="D772" s="46"/>
      <c r="E772" s="57" t="str">
        <f>IFERROR(__xludf.DUMMYFUNCTION("""COMPUTED_VALUE"""),"")</f>
        <v/>
      </c>
      <c r="F772" s="46" t="str">
        <f>IFERROR(__xludf.DUMMYFUNCTION("""COMPUTED_VALUE"""),"")</f>
        <v/>
      </c>
      <c r="G772" s="46"/>
      <c r="H772" s="46"/>
      <c r="I772" s="46"/>
      <c r="J772" s="46"/>
      <c r="K772" s="46"/>
      <c r="L772" s="46"/>
      <c r="M772" s="46"/>
      <c r="N772" s="46"/>
      <c r="O772" s="46"/>
      <c r="P772" s="46"/>
      <c r="Q772" s="46"/>
      <c r="R772" s="46"/>
      <c r="S772" s="46"/>
      <c r="T772" s="46"/>
      <c r="U772" s="46"/>
      <c r="V772" s="46"/>
      <c r="W772" s="46"/>
      <c r="X772" s="46"/>
      <c r="Y772" s="46"/>
      <c r="Z772" s="46"/>
      <c r="AA772" s="46"/>
    </row>
    <row r="773">
      <c r="A773" s="46"/>
      <c r="B773" s="46"/>
      <c r="C773" s="59" t="str">
        <f t="shared" si="3"/>
        <v/>
      </c>
      <c r="D773" s="46"/>
      <c r="E773" s="57" t="str">
        <f>IFERROR(__xludf.DUMMYFUNCTION("""COMPUTED_VALUE"""),"")</f>
        <v/>
      </c>
      <c r="F773" s="46" t="str">
        <f>IFERROR(__xludf.DUMMYFUNCTION("""COMPUTED_VALUE"""),"")</f>
        <v/>
      </c>
      <c r="G773" s="46"/>
      <c r="H773" s="46"/>
      <c r="I773" s="46"/>
      <c r="J773" s="46"/>
      <c r="K773" s="46"/>
      <c r="L773" s="46"/>
      <c r="M773" s="46"/>
      <c r="N773" s="46"/>
      <c r="O773" s="46"/>
      <c r="P773" s="46"/>
      <c r="Q773" s="46"/>
      <c r="R773" s="46"/>
      <c r="S773" s="46"/>
      <c r="T773" s="46"/>
      <c r="U773" s="46"/>
      <c r="V773" s="46"/>
      <c r="W773" s="46"/>
      <c r="X773" s="46"/>
      <c r="Y773" s="46"/>
      <c r="Z773" s="46"/>
      <c r="AA773" s="46"/>
    </row>
    <row r="774">
      <c r="A774" s="46"/>
      <c r="B774" s="46"/>
      <c r="C774" s="59" t="str">
        <f t="shared" si="3"/>
        <v/>
      </c>
      <c r="D774" s="46"/>
      <c r="E774" s="57" t="str">
        <f>IFERROR(__xludf.DUMMYFUNCTION("""COMPUTED_VALUE"""),"")</f>
        <v/>
      </c>
      <c r="F774" s="46" t="str">
        <f>IFERROR(__xludf.DUMMYFUNCTION("""COMPUTED_VALUE"""),"")</f>
        <v/>
      </c>
      <c r="G774" s="46"/>
      <c r="H774" s="46"/>
      <c r="I774" s="46"/>
      <c r="J774" s="46"/>
      <c r="K774" s="46"/>
      <c r="L774" s="46"/>
      <c r="M774" s="46"/>
      <c r="N774" s="46"/>
      <c r="O774" s="46"/>
      <c r="P774" s="46"/>
      <c r="Q774" s="46"/>
      <c r="R774" s="46"/>
      <c r="S774" s="46"/>
      <c r="T774" s="46"/>
      <c r="U774" s="46"/>
      <c r="V774" s="46"/>
      <c r="W774" s="46"/>
      <c r="X774" s="46"/>
      <c r="Y774" s="46"/>
      <c r="Z774" s="46"/>
      <c r="AA774" s="46"/>
    </row>
    <row r="775">
      <c r="A775" s="46"/>
      <c r="B775" s="46"/>
      <c r="C775" s="59" t="str">
        <f t="shared" si="3"/>
        <v/>
      </c>
      <c r="D775" s="46"/>
      <c r="E775" s="57" t="str">
        <f>IFERROR(__xludf.DUMMYFUNCTION("""COMPUTED_VALUE"""),"")</f>
        <v/>
      </c>
      <c r="F775" s="46" t="str">
        <f>IFERROR(__xludf.DUMMYFUNCTION("""COMPUTED_VALUE"""),"")</f>
        <v/>
      </c>
      <c r="G775" s="46"/>
      <c r="H775" s="46"/>
      <c r="I775" s="46"/>
      <c r="J775" s="46"/>
      <c r="K775" s="46"/>
      <c r="L775" s="46"/>
      <c r="M775" s="46"/>
      <c r="N775" s="46"/>
      <c r="O775" s="46"/>
      <c r="P775" s="46"/>
      <c r="Q775" s="46"/>
      <c r="R775" s="46"/>
      <c r="S775" s="46"/>
      <c r="T775" s="46"/>
      <c r="U775" s="46"/>
      <c r="V775" s="46"/>
      <c r="W775" s="46"/>
      <c r="X775" s="46"/>
      <c r="Y775" s="46"/>
      <c r="Z775" s="46"/>
      <c r="AA775" s="46"/>
    </row>
    <row r="776">
      <c r="A776" s="46"/>
      <c r="B776" s="46"/>
      <c r="C776" s="59" t="str">
        <f t="shared" si="3"/>
        <v/>
      </c>
      <c r="D776" s="46"/>
      <c r="E776" s="57" t="str">
        <f>IFERROR(__xludf.DUMMYFUNCTION("""COMPUTED_VALUE"""),"")</f>
        <v/>
      </c>
      <c r="F776" s="46" t="str">
        <f>IFERROR(__xludf.DUMMYFUNCTION("""COMPUTED_VALUE"""),"")</f>
        <v/>
      </c>
      <c r="G776" s="46"/>
      <c r="H776" s="46"/>
      <c r="I776" s="46"/>
      <c r="J776" s="46"/>
      <c r="K776" s="46"/>
      <c r="L776" s="46"/>
      <c r="M776" s="46"/>
      <c r="N776" s="46"/>
      <c r="O776" s="46"/>
      <c r="P776" s="46"/>
      <c r="Q776" s="46"/>
      <c r="R776" s="46"/>
      <c r="S776" s="46"/>
      <c r="T776" s="46"/>
      <c r="U776" s="46"/>
      <c r="V776" s="46"/>
      <c r="W776" s="46"/>
      <c r="X776" s="46"/>
      <c r="Y776" s="46"/>
      <c r="Z776" s="46"/>
      <c r="AA776" s="46"/>
    </row>
    <row r="777">
      <c r="A777" s="46"/>
      <c r="B777" s="46"/>
      <c r="C777" s="59" t="str">
        <f t="shared" si="3"/>
        <v/>
      </c>
      <c r="D777" s="46"/>
      <c r="E777" s="57" t="str">
        <f>IFERROR(__xludf.DUMMYFUNCTION("""COMPUTED_VALUE"""),"")</f>
        <v/>
      </c>
      <c r="F777" s="46" t="str">
        <f>IFERROR(__xludf.DUMMYFUNCTION("""COMPUTED_VALUE"""),"")</f>
        <v/>
      </c>
      <c r="G777" s="46"/>
      <c r="H777" s="46"/>
      <c r="I777" s="46"/>
      <c r="J777" s="46"/>
      <c r="K777" s="46"/>
      <c r="L777" s="46"/>
      <c r="M777" s="46"/>
      <c r="N777" s="46"/>
      <c r="O777" s="46"/>
      <c r="P777" s="46"/>
      <c r="Q777" s="46"/>
      <c r="R777" s="46"/>
      <c r="S777" s="46"/>
      <c r="T777" s="46"/>
      <c r="U777" s="46"/>
      <c r="V777" s="46"/>
      <c r="W777" s="46"/>
      <c r="X777" s="46"/>
      <c r="Y777" s="46"/>
      <c r="Z777" s="46"/>
      <c r="AA777" s="46"/>
    </row>
    <row r="778">
      <c r="A778" s="46"/>
      <c r="B778" s="46"/>
      <c r="C778" s="59" t="str">
        <f t="shared" si="3"/>
        <v/>
      </c>
      <c r="D778" s="46"/>
      <c r="E778" s="57" t="str">
        <f>IFERROR(__xludf.DUMMYFUNCTION("""COMPUTED_VALUE"""),"")</f>
        <v/>
      </c>
      <c r="F778" s="46" t="str">
        <f>IFERROR(__xludf.DUMMYFUNCTION("""COMPUTED_VALUE"""),"")</f>
        <v/>
      </c>
      <c r="G778" s="46"/>
      <c r="H778" s="46"/>
      <c r="I778" s="46"/>
      <c r="J778" s="46"/>
      <c r="K778" s="46"/>
      <c r="L778" s="46"/>
      <c r="M778" s="46"/>
      <c r="N778" s="46"/>
      <c r="O778" s="46"/>
      <c r="P778" s="46"/>
      <c r="Q778" s="46"/>
      <c r="R778" s="46"/>
      <c r="S778" s="46"/>
      <c r="T778" s="46"/>
      <c r="U778" s="46"/>
      <c r="V778" s="46"/>
      <c r="W778" s="46"/>
      <c r="X778" s="46"/>
      <c r="Y778" s="46"/>
      <c r="Z778" s="46"/>
      <c r="AA778" s="46"/>
    </row>
    <row r="779">
      <c r="A779" s="46"/>
      <c r="B779" s="46"/>
      <c r="C779" s="59" t="str">
        <f t="shared" si="3"/>
        <v/>
      </c>
      <c r="D779" s="46"/>
      <c r="E779" s="57" t="str">
        <f>IFERROR(__xludf.DUMMYFUNCTION("""COMPUTED_VALUE"""),"")</f>
        <v/>
      </c>
      <c r="F779" s="46" t="str">
        <f>IFERROR(__xludf.DUMMYFUNCTION("""COMPUTED_VALUE"""),"")</f>
        <v/>
      </c>
      <c r="G779" s="46"/>
      <c r="H779" s="46"/>
      <c r="I779" s="46"/>
      <c r="J779" s="46"/>
      <c r="K779" s="46"/>
      <c r="L779" s="46"/>
      <c r="M779" s="46"/>
      <c r="N779" s="46"/>
      <c r="O779" s="46"/>
      <c r="P779" s="46"/>
      <c r="Q779" s="46"/>
      <c r="R779" s="46"/>
      <c r="S779" s="46"/>
      <c r="T779" s="46"/>
      <c r="U779" s="46"/>
      <c r="V779" s="46"/>
      <c r="W779" s="46"/>
      <c r="X779" s="46"/>
      <c r="Y779" s="46"/>
      <c r="Z779" s="46"/>
      <c r="AA779" s="46"/>
    </row>
    <row r="780">
      <c r="A780" s="46"/>
      <c r="B780" s="46"/>
      <c r="C780" s="59" t="str">
        <f t="shared" si="3"/>
        <v/>
      </c>
      <c r="D780" s="46"/>
      <c r="E780" s="57" t="str">
        <f>IFERROR(__xludf.DUMMYFUNCTION("""COMPUTED_VALUE"""),"")</f>
        <v/>
      </c>
      <c r="F780" s="46" t="str">
        <f>IFERROR(__xludf.DUMMYFUNCTION("""COMPUTED_VALUE"""),"")</f>
        <v/>
      </c>
      <c r="G780" s="46"/>
      <c r="H780" s="46"/>
      <c r="I780" s="46"/>
      <c r="J780" s="46"/>
      <c r="K780" s="46"/>
      <c r="L780" s="46"/>
      <c r="M780" s="46"/>
      <c r="N780" s="46"/>
      <c r="O780" s="46"/>
      <c r="P780" s="46"/>
      <c r="Q780" s="46"/>
      <c r="R780" s="46"/>
      <c r="S780" s="46"/>
      <c r="T780" s="46"/>
      <c r="U780" s="46"/>
      <c r="V780" s="46"/>
      <c r="W780" s="46"/>
      <c r="X780" s="46"/>
      <c r="Y780" s="46"/>
      <c r="Z780" s="46"/>
      <c r="AA780" s="46"/>
    </row>
    <row r="781">
      <c r="A781" s="46"/>
      <c r="B781" s="46"/>
      <c r="C781" s="59" t="str">
        <f t="shared" si="3"/>
        <v/>
      </c>
      <c r="D781" s="46"/>
      <c r="E781" s="57" t="str">
        <f>IFERROR(__xludf.DUMMYFUNCTION("""COMPUTED_VALUE"""),"")</f>
        <v/>
      </c>
      <c r="F781" s="46" t="str">
        <f>IFERROR(__xludf.DUMMYFUNCTION("""COMPUTED_VALUE"""),"")</f>
        <v/>
      </c>
      <c r="G781" s="46"/>
      <c r="H781" s="46"/>
      <c r="I781" s="46"/>
      <c r="J781" s="46"/>
      <c r="K781" s="46"/>
      <c r="L781" s="46"/>
      <c r="M781" s="46"/>
      <c r="N781" s="46"/>
      <c r="O781" s="46"/>
      <c r="P781" s="46"/>
      <c r="Q781" s="46"/>
      <c r="R781" s="46"/>
      <c r="S781" s="46"/>
      <c r="T781" s="46"/>
      <c r="U781" s="46"/>
      <c r="V781" s="46"/>
      <c r="W781" s="46"/>
      <c r="X781" s="46"/>
      <c r="Y781" s="46"/>
      <c r="Z781" s="46"/>
      <c r="AA781" s="46"/>
    </row>
    <row r="782">
      <c r="A782" s="46"/>
      <c r="B782" s="46"/>
      <c r="C782" s="59" t="str">
        <f t="shared" si="3"/>
        <v/>
      </c>
      <c r="D782" s="46"/>
      <c r="E782" s="57" t="str">
        <f>IFERROR(__xludf.DUMMYFUNCTION("""COMPUTED_VALUE"""),"")</f>
        <v/>
      </c>
      <c r="F782" s="46" t="str">
        <f>IFERROR(__xludf.DUMMYFUNCTION("""COMPUTED_VALUE"""),"")</f>
        <v/>
      </c>
      <c r="G782" s="46"/>
      <c r="H782" s="46"/>
      <c r="I782" s="46"/>
      <c r="J782" s="46"/>
      <c r="K782" s="46"/>
      <c r="L782" s="46"/>
      <c r="M782" s="46"/>
      <c r="N782" s="46"/>
      <c r="O782" s="46"/>
      <c r="P782" s="46"/>
      <c r="Q782" s="46"/>
      <c r="R782" s="46"/>
      <c r="S782" s="46"/>
      <c r="T782" s="46"/>
      <c r="U782" s="46"/>
      <c r="V782" s="46"/>
      <c r="W782" s="46"/>
      <c r="X782" s="46"/>
      <c r="Y782" s="46"/>
      <c r="Z782" s="46"/>
      <c r="AA782" s="46"/>
    </row>
    <row r="783">
      <c r="A783" s="46"/>
      <c r="B783" s="46"/>
      <c r="C783" s="59" t="str">
        <f t="shared" si="3"/>
        <v/>
      </c>
      <c r="D783" s="46"/>
      <c r="E783" s="57" t="str">
        <f>IFERROR(__xludf.DUMMYFUNCTION("""COMPUTED_VALUE"""),"")</f>
        <v/>
      </c>
      <c r="F783" s="46" t="str">
        <f>IFERROR(__xludf.DUMMYFUNCTION("""COMPUTED_VALUE"""),"")</f>
        <v/>
      </c>
      <c r="G783" s="46"/>
      <c r="H783" s="46"/>
      <c r="I783" s="46"/>
      <c r="J783" s="46"/>
      <c r="K783" s="46"/>
      <c r="L783" s="46"/>
      <c r="M783" s="46"/>
      <c r="N783" s="46"/>
      <c r="O783" s="46"/>
      <c r="P783" s="46"/>
      <c r="Q783" s="46"/>
      <c r="R783" s="46"/>
      <c r="S783" s="46"/>
      <c r="T783" s="46"/>
      <c r="U783" s="46"/>
      <c r="V783" s="46"/>
      <c r="W783" s="46"/>
      <c r="X783" s="46"/>
      <c r="Y783" s="46"/>
      <c r="Z783" s="46"/>
      <c r="AA783" s="46"/>
    </row>
    <row r="784">
      <c r="A784" s="46"/>
      <c r="B784" s="46"/>
      <c r="C784" s="59" t="str">
        <f t="shared" si="3"/>
        <v/>
      </c>
      <c r="D784" s="46"/>
      <c r="E784" s="57" t="str">
        <f>IFERROR(__xludf.DUMMYFUNCTION("""COMPUTED_VALUE"""),"")</f>
        <v/>
      </c>
      <c r="F784" s="46" t="str">
        <f>IFERROR(__xludf.DUMMYFUNCTION("""COMPUTED_VALUE"""),"")</f>
        <v/>
      </c>
      <c r="G784" s="46"/>
      <c r="H784" s="46"/>
      <c r="I784" s="46"/>
      <c r="J784" s="46"/>
      <c r="K784" s="46"/>
      <c r="L784" s="46"/>
      <c r="M784" s="46"/>
      <c r="N784" s="46"/>
      <c r="O784" s="46"/>
      <c r="P784" s="46"/>
      <c r="Q784" s="46"/>
      <c r="R784" s="46"/>
      <c r="S784" s="46"/>
      <c r="T784" s="46"/>
      <c r="U784" s="46"/>
      <c r="V784" s="46"/>
      <c r="W784" s="46"/>
      <c r="X784" s="46"/>
      <c r="Y784" s="46"/>
      <c r="Z784" s="46"/>
      <c r="AA784" s="46"/>
    </row>
    <row r="785">
      <c r="A785" s="46"/>
      <c r="B785" s="46"/>
      <c r="C785" s="59" t="str">
        <f t="shared" si="3"/>
        <v/>
      </c>
      <c r="D785" s="46"/>
      <c r="E785" s="57" t="str">
        <f>IFERROR(__xludf.DUMMYFUNCTION("""COMPUTED_VALUE"""),"")</f>
        <v/>
      </c>
      <c r="F785" s="46" t="str">
        <f>IFERROR(__xludf.DUMMYFUNCTION("""COMPUTED_VALUE"""),"")</f>
        <v/>
      </c>
      <c r="G785" s="46"/>
      <c r="H785" s="46"/>
      <c r="I785" s="46"/>
      <c r="J785" s="46"/>
      <c r="K785" s="46"/>
      <c r="L785" s="46"/>
      <c r="M785" s="46"/>
      <c r="N785" s="46"/>
      <c r="O785" s="46"/>
      <c r="P785" s="46"/>
      <c r="Q785" s="46"/>
      <c r="R785" s="46"/>
      <c r="S785" s="46"/>
      <c r="T785" s="46"/>
      <c r="U785" s="46"/>
      <c r="V785" s="46"/>
      <c r="W785" s="46"/>
      <c r="X785" s="46"/>
      <c r="Y785" s="46"/>
      <c r="Z785" s="46"/>
      <c r="AA785" s="46"/>
    </row>
    <row r="786">
      <c r="A786" s="46"/>
      <c r="B786" s="46"/>
      <c r="C786" s="59" t="str">
        <f t="shared" si="3"/>
        <v/>
      </c>
      <c r="D786" s="46"/>
      <c r="E786" s="57" t="str">
        <f>IFERROR(__xludf.DUMMYFUNCTION("""COMPUTED_VALUE"""),"")</f>
        <v/>
      </c>
      <c r="F786" s="46" t="str">
        <f>IFERROR(__xludf.DUMMYFUNCTION("""COMPUTED_VALUE"""),"")</f>
        <v/>
      </c>
      <c r="G786" s="46"/>
      <c r="H786" s="46"/>
      <c r="I786" s="46"/>
      <c r="J786" s="46"/>
      <c r="K786" s="46"/>
      <c r="L786" s="46"/>
      <c r="M786" s="46"/>
      <c r="N786" s="46"/>
      <c r="O786" s="46"/>
      <c r="P786" s="46"/>
      <c r="Q786" s="46"/>
      <c r="R786" s="46"/>
      <c r="S786" s="46"/>
      <c r="T786" s="46"/>
      <c r="U786" s="46"/>
      <c r="V786" s="46"/>
      <c r="W786" s="46"/>
      <c r="X786" s="46"/>
      <c r="Y786" s="46"/>
      <c r="Z786" s="46"/>
      <c r="AA786" s="46"/>
    </row>
    <row r="787">
      <c r="A787" s="46"/>
      <c r="B787" s="46"/>
      <c r="C787" s="59" t="str">
        <f t="shared" si="3"/>
        <v/>
      </c>
      <c r="D787" s="46"/>
      <c r="E787" s="57" t="str">
        <f>IFERROR(__xludf.DUMMYFUNCTION("""COMPUTED_VALUE"""),"")</f>
        <v/>
      </c>
      <c r="F787" s="46" t="str">
        <f>IFERROR(__xludf.DUMMYFUNCTION("""COMPUTED_VALUE"""),"")</f>
        <v/>
      </c>
      <c r="G787" s="46"/>
      <c r="H787" s="46"/>
      <c r="I787" s="46"/>
      <c r="J787" s="46"/>
      <c r="K787" s="46"/>
      <c r="L787" s="46"/>
      <c r="M787" s="46"/>
      <c r="N787" s="46"/>
      <c r="O787" s="46"/>
      <c r="P787" s="46"/>
      <c r="Q787" s="46"/>
      <c r="R787" s="46"/>
      <c r="S787" s="46"/>
      <c r="T787" s="46"/>
      <c r="U787" s="46"/>
      <c r="V787" s="46"/>
      <c r="W787" s="46"/>
      <c r="X787" s="46"/>
      <c r="Y787" s="46"/>
      <c r="Z787" s="46"/>
      <c r="AA787" s="46"/>
    </row>
    <row r="788">
      <c r="A788" s="46"/>
      <c r="B788" s="46"/>
      <c r="C788" s="59" t="str">
        <f t="shared" si="3"/>
        <v/>
      </c>
      <c r="D788" s="46"/>
      <c r="E788" s="57" t="str">
        <f>IFERROR(__xludf.DUMMYFUNCTION("""COMPUTED_VALUE"""),"")</f>
        <v/>
      </c>
      <c r="F788" s="46" t="str">
        <f>IFERROR(__xludf.DUMMYFUNCTION("""COMPUTED_VALUE"""),"")</f>
        <v/>
      </c>
      <c r="G788" s="46"/>
      <c r="H788" s="46"/>
      <c r="I788" s="46"/>
      <c r="J788" s="46"/>
      <c r="K788" s="46"/>
      <c r="L788" s="46"/>
      <c r="M788" s="46"/>
      <c r="N788" s="46"/>
      <c r="O788" s="46"/>
      <c r="P788" s="46"/>
      <c r="Q788" s="46"/>
      <c r="R788" s="46"/>
      <c r="S788" s="46"/>
      <c r="T788" s="46"/>
      <c r="U788" s="46"/>
      <c r="V788" s="46"/>
      <c r="W788" s="46"/>
      <c r="X788" s="46"/>
      <c r="Y788" s="46"/>
      <c r="Z788" s="46"/>
      <c r="AA788" s="46"/>
    </row>
    <row r="789">
      <c r="A789" s="46"/>
      <c r="B789" s="46"/>
      <c r="C789" s="59" t="str">
        <f t="shared" si="3"/>
        <v/>
      </c>
      <c r="D789" s="46"/>
      <c r="E789" s="57" t="str">
        <f>IFERROR(__xludf.DUMMYFUNCTION("""COMPUTED_VALUE"""),"")</f>
        <v/>
      </c>
      <c r="F789" s="46" t="str">
        <f>IFERROR(__xludf.DUMMYFUNCTION("""COMPUTED_VALUE"""),"")</f>
        <v/>
      </c>
      <c r="G789" s="46"/>
      <c r="H789" s="46"/>
      <c r="I789" s="46"/>
      <c r="J789" s="46"/>
      <c r="K789" s="46"/>
      <c r="L789" s="46"/>
      <c r="M789" s="46"/>
      <c r="N789" s="46"/>
      <c r="O789" s="46"/>
      <c r="P789" s="46"/>
      <c r="Q789" s="46"/>
      <c r="R789" s="46"/>
      <c r="S789" s="46"/>
      <c r="T789" s="46"/>
      <c r="U789" s="46"/>
      <c r="V789" s="46"/>
      <c r="W789" s="46"/>
      <c r="X789" s="46"/>
      <c r="Y789" s="46"/>
      <c r="Z789" s="46"/>
      <c r="AA789" s="46"/>
    </row>
    <row r="790">
      <c r="A790" s="46"/>
      <c r="B790" s="46"/>
      <c r="C790" s="59" t="str">
        <f t="shared" si="3"/>
        <v/>
      </c>
      <c r="D790" s="46"/>
      <c r="E790" s="57" t="str">
        <f>IFERROR(__xludf.DUMMYFUNCTION("""COMPUTED_VALUE"""),"")</f>
        <v/>
      </c>
      <c r="F790" s="46" t="str">
        <f>IFERROR(__xludf.DUMMYFUNCTION("""COMPUTED_VALUE"""),"")</f>
        <v/>
      </c>
      <c r="G790" s="46"/>
      <c r="H790" s="46"/>
      <c r="I790" s="46"/>
      <c r="J790" s="46"/>
      <c r="K790" s="46"/>
      <c r="L790" s="46"/>
      <c r="M790" s="46"/>
      <c r="N790" s="46"/>
      <c r="O790" s="46"/>
      <c r="P790" s="46"/>
      <c r="Q790" s="46"/>
      <c r="R790" s="46"/>
      <c r="S790" s="46"/>
      <c r="T790" s="46"/>
      <c r="U790" s="46"/>
      <c r="V790" s="46"/>
      <c r="W790" s="46"/>
      <c r="X790" s="46"/>
      <c r="Y790" s="46"/>
      <c r="Z790" s="46"/>
      <c r="AA790" s="46"/>
    </row>
    <row r="791">
      <c r="A791" s="46"/>
      <c r="B791" s="46"/>
      <c r="C791" s="59" t="str">
        <f t="shared" si="3"/>
        <v/>
      </c>
      <c r="D791" s="46"/>
      <c r="E791" s="57" t="str">
        <f>IFERROR(__xludf.DUMMYFUNCTION("""COMPUTED_VALUE"""),"")</f>
        <v/>
      </c>
      <c r="F791" s="46" t="str">
        <f>IFERROR(__xludf.DUMMYFUNCTION("""COMPUTED_VALUE"""),"")</f>
        <v/>
      </c>
      <c r="G791" s="46"/>
      <c r="H791" s="46"/>
      <c r="I791" s="46"/>
      <c r="J791" s="46"/>
      <c r="K791" s="46"/>
      <c r="L791" s="46"/>
      <c r="M791" s="46"/>
      <c r="N791" s="46"/>
      <c r="O791" s="46"/>
      <c r="P791" s="46"/>
      <c r="Q791" s="46"/>
      <c r="R791" s="46"/>
      <c r="S791" s="46"/>
      <c r="T791" s="46"/>
      <c r="U791" s="46"/>
      <c r="V791" s="46"/>
      <c r="W791" s="46"/>
      <c r="X791" s="46"/>
      <c r="Y791" s="46"/>
      <c r="Z791" s="46"/>
      <c r="AA791" s="46"/>
    </row>
    <row r="792">
      <c r="A792" s="46"/>
      <c r="B792" s="46"/>
      <c r="C792" s="59" t="str">
        <f t="shared" si="3"/>
        <v/>
      </c>
      <c r="D792" s="46"/>
      <c r="E792" s="57" t="str">
        <f>IFERROR(__xludf.DUMMYFUNCTION("""COMPUTED_VALUE"""),"")</f>
        <v/>
      </c>
      <c r="F792" s="46" t="str">
        <f>IFERROR(__xludf.DUMMYFUNCTION("""COMPUTED_VALUE"""),"")</f>
        <v/>
      </c>
      <c r="G792" s="46"/>
      <c r="H792" s="46"/>
      <c r="I792" s="46"/>
      <c r="J792" s="46"/>
      <c r="K792" s="46"/>
      <c r="L792" s="46"/>
      <c r="M792" s="46"/>
      <c r="N792" s="46"/>
      <c r="O792" s="46"/>
      <c r="P792" s="46"/>
      <c r="Q792" s="46"/>
      <c r="R792" s="46"/>
      <c r="S792" s="46"/>
      <c r="T792" s="46"/>
      <c r="U792" s="46"/>
      <c r="V792" s="46"/>
      <c r="W792" s="46"/>
      <c r="X792" s="46"/>
      <c r="Y792" s="46"/>
      <c r="Z792" s="46"/>
      <c r="AA792" s="46"/>
    </row>
    <row r="793">
      <c r="A793" s="46"/>
      <c r="B793" s="46"/>
      <c r="C793" s="59" t="str">
        <f t="shared" si="3"/>
        <v/>
      </c>
      <c r="D793" s="46"/>
      <c r="E793" s="57" t="str">
        <f>IFERROR(__xludf.DUMMYFUNCTION("""COMPUTED_VALUE"""),"")</f>
        <v/>
      </c>
      <c r="F793" s="46" t="str">
        <f>IFERROR(__xludf.DUMMYFUNCTION("""COMPUTED_VALUE"""),"")</f>
        <v/>
      </c>
      <c r="G793" s="46"/>
      <c r="H793" s="46"/>
      <c r="I793" s="46"/>
      <c r="J793" s="46"/>
      <c r="K793" s="46"/>
      <c r="L793" s="46"/>
      <c r="M793" s="46"/>
      <c r="N793" s="46"/>
      <c r="O793" s="46"/>
      <c r="P793" s="46"/>
      <c r="Q793" s="46"/>
      <c r="R793" s="46"/>
      <c r="S793" s="46"/>
      <c r="T793" s="46"/>
      <c r="U793" s="46"/>
      <c r="V793" s="46"/>
      <c r="W793" s="46"/>
      <c r="X793" s="46"/>
      <c r="Y793" s="46"/>
      <c r="Z793" s="46"/>
      <c r="AA793" s="46"/>
    </row>
    <row r="794">
      <c r="A794" s="46"/>
      <c r="B794" s="46"/>
      <c r="C794" s="59" t="str">
        <f t="shared" si="3"/>
        <v/>
      </c>
      <c r="D794" s="46"/>
      <c r="E794" s="57" t="str">
        <f>IFERROR(__xludf.DUMMYFUNCTION("""COMPUTED_VALUE"""),"")</f>
        <v/>
      </c>
      <c r="F794" s="46" t="str">
        <f>IFERROR(__xludf.DUMMYFUNCTION("""COMPUTED_VALUE"""),"")</f>
        <v/>
      </c>
      <c r="G794" s="46"/>
      <c r="H794" s="46"/>
      <c r="I794" s="46"/>
      <c r="J794" s="46"/>
      <c r="K794" s="46"/>
      <c r="L794" s="46"/>
      <c r="M794" s="46"/>
      <c r="N794" s="46"/>
      <c r="O794" s="46"/>
      <c r="P794" s="46"/>
      <c r="Q794" s="46"/>
      <c r="R794" s="46"/>
      <c r="S794" s="46"/>
      <c r="T794" s="46"/>
      <c r="U794" s="46"/>
      <c r="V794" s="46"/>
      <c r="W794" s="46"/>
      <c r="X794" s="46"/>
      <c r="Y794" s="46"/>
      <c r="Z794" s="46"/>
      <c r="AA794" s="46"/>
    </row>
    <row r="795">
      <c r="A795" s="46"/>
      <c r="B795" s="46"/>
      <c r="C795" s="59" t="str">
        <f t="shared" si="3"/>
        <v/>
      </c>
      <c r="D795" s="46"/>
      <c r="E795" s="57" t="str">
        <f>IFERROR(__xludf.DUMMYFUNCTION("""COMPUTED_VALUE"""),"")</f>
        <v/>
      </c>
      <c r="F795" s="46" t="str">
        <f>IFERROR(__xludf.DUMMYFUNCTION("""COMPUTED_VALUE"""),"")</f>
        <v/>
      </c>
      <c r="G795" s="46"/>
      <c r="H795" s="46"/>
      <c r="I795" s="46"/>
      <c r="J795" s="46"/>
      <c r="K795" s="46"/>
      <c r="L795" s="46"/>
      <c r="M795" s="46"/>
      <c r="N795" s="46"/>
      <c r="O795" s="46"/>
      <c r="P795" s="46"/>
      <c r="Q795" s="46"/>
      <c r="R795" s="46"/>
      <c r="S795" s="46"/>
      <c r="T795" s="46"/>
      <c r="U795" s="46"/>
      <c r="V795" s="46"/>
      <c r="W795" s="46"/>
      <c r="X795" s="46"/>
      <c r="Y795" s="46"/>
      <c r="Z795" s="46"/>
      <c r="AA795" s="46"/>
    </row>
    <row r="796">
      <c r="A796" s="46"/>
      <c r="B796" s="46"/>
      <c r="C796" s="59" t="str">
        <f t="shared" si="3"/>
        <v/>
      </c>
      <c r="D796" s="46"/>
      <c r="E796" s="57" t="str">
        <f>IFERROR(__xludf.DUMMYFUNCTION("""COMPUTED_VALUE"""),"")</f>
        <v/>
      </c>
      <c r="F796" s="46" t="str">
        <f>IFERROR(__xludf.DUMMYFUNCTION("""COMPUTED_VALUE"""),"")</f>
        <v/>
      </c>
      <c r="G796" s="46"/>
      <c r="H796" s="46"/>
      <c r="I796" s="46"/>
      <c r="J796" s="46"/>
      <c r="K796" s="46"/>
      <c r="L796" s="46"/>
      <c r="M796" s="46"/>
      <c r="N796" s="46"/>
      <c r="O796" s="46"/>
      <c r="P796" s="46"/>
      <c r="Q796" s="46"/>
      <c r="R796" s="46"/>
      <c r="S796" s="46"/>
      <c r="T796" s="46"/>
      <c r="U796" s="46"/>
      <c r="V796" s="46"/>
      <c r="W796" s="46"/>
      <c r="X796" s="46"/>
      <c r="Y796" s="46"/>
      <c r="Z796" s="46"/>
      <c r="AA796" s="46"/>
    </row>
    <row r="797">
      <c r="A797" s="46"/>
      <c r="B797" s="46"/>
      <c r="C797" s="59" t="str">
        <f t="shared" si="3"/>
        <v/>
      </c>
      <c r="D797" s="46"/>
      <c r="E797" s="57" t="str">
        <f>IFERROR(__xludf.DUMMYFUNCTION("""COMPUTED_VALUE"""),"")</f>
        <v/>
      </c>
      <c r="F797" s="46" t="str">
        <f>IFERROR(__xludf.DUMMYFUNCTION("""COMPUTED_VALUE"""),"")</f>
        <v/>
      </c>
      <c r="G797" s="46"/>
      <c r="H797" s="46"/>
      <c r="I797" s="46"/>
      <c r="J797" s="46"/>
      <c r="K797" s="46"/>
      <c r="L797" s="46"/>
      <c r="M797" s="46"/>
      <c r="N797" s="46"/>
      <c r="O797" s="46"/>
      <c r="P797" s="46"/>
      <c r="Q797" s="46"/>
      <c r="R797" s="46"/>
      <c r="S797" s="46"/>
      <c r="T797" s="46"/>
      <c r="U797" s="46"/>
      <c r="V797" s="46"/>
      <c r="W797" s="46"/>
      <c r="X797" s="46"/>
      <c r="Y797" s="46"/>
      <c r="Z797" s="46"/>
      <c r="AA797" s="46"/>
    </row>
    <row r="798">
      <c r="A798" s="46"/>
      <c r="B798" s="46"/>
      <c r="C798" s="59" t="str">
        <f t="shared" si="3"/>
        <v/>
      </c>
      <c r="D798" s="46"/>
      <c r="E798" s="57" t="str">
        <f>IFERROR(__xludf.DUMMYFUNCTION("""COMPUTED_VALUE"""),"")</f>
        <v/>
      </c>
      <c r="F798" s="46" t="str">
        <f>IFERROR(__xludf.DUMMYFUNCTION("""COMPUTED_VALUE"""),"")</f>
        <v/>
      </c>
      <c r="G798" s="46"/>
      <c r="H798" s="46"/>
      <c r="I798" s="46"/>
      <c r="J798" s="46"/>
      <c r="K798" s="46"/>
      <c r="L798" s="46"/>
      <c r="M798" s="46"/>
      <c r="N798" s="46"/>
      <c r="O798" s="46"/>
      <c r="P798" s="46"/>
      <c r="Q798" s="46"/>
      <c r="R798" s="46"/>
      <c r="S798" s="46"/>
      <c r="T798" s="46"/>
      <c r="U798" s="46"/>
      <c r="V798" s="46"/>
      <c r="W798" s="46"/>
      <c r="X798" s="46"/>
      <c r="Y798" s="46"/>
      <c r="Z798" s="46"/>
      <c r="AA798" s="46"/>
    </row>
    <row r="799">
      <c r="A799" s="46"/>
      <c r="B799" s="46"/>
      <c r="C799" s="59" t="str">
        <f t="shared" si="3"/>
        <v/>
      </c>
      <c r="D799" s="46"/>
      <c r="E799" s="57" t="str">
        <f>IFERROR(__xludf.DUMMYFUNCTION("""COMPUTED_VALUE"""),"")</f>
        <v/>
      </c>
      <c r="F799" s="46" t="str">
        <f>IFERROR(__xludf.DUMMYFUNCTION("""COMPUTED_VALUE"""),"")</f>
        <v/>
      </c>
      <c r="G799" s="46"/>
      <c r="H799" s="46"/>
      <c r="I799" s="46"/>
      <c r="J799" s="46"/>
      <c r="K799" s="46"/>
      <c r="L799" s="46"/>
      <c r="M799" s="46"/>
      <c r="N799" s="46"/>
      <c r="O799" s="46"/>
      <c r="P799" s="46"/>
      <c r="Q799" s="46"/>
      <c r="R799" s="46"/>
      <c r="S799" s="46"/>
      <c r="T799" s="46"/>
      <c r="U799" s="46"/>
      <c r="V799" s="46"/>
      <c r="W799" s="46"/>
      <c r="X799" s="46"/>
      <c r="Y799" s="46"/>
      <c r="Z799" s="46"/>
      <c r="AA799" s="46"/>
    </row>
    <row r="800">
      <c r="A800" s="46"/>
      <c r="B800" s="46"/>
      <c r="C800" s="59" t="str">
        <f t="shared" si="3"/>
        <v/>
      </c>
      <c r="D800" s="46"/>
      <c r="E800" s="57" t="str">
        <f>IFERROR(__xludf.DUMMYFUNCTION("""COMPUTED_VALUE"""),"")</f>
        <v/>
      </c>
      <c r="F800" s="46" t="str">
        <f>IFERROR(__xludf.DUMMYFUNCTION("""COMPUTED_VALUE"""),"")</f>
        <v/>
      </c>
      <c r="G800" s="46"/>
      <c r="H800" s="46"/>
      <c r="I800" s="46"/>
      <c r="J800" s="46"/>
      <c r="K800" s="46"/>
      <c r="L800" s="46"/>
      <c r="M800" s="46"/>
      <c r="N800" s="46"/>
      <c r="O800" s="46"/>
      <c r="P800" s="46"/>
      <c r="Q800" s="46"/>
      <c r="R800" s="46"/>
      <c r="S800" s="46"/>
      <c r="T800" s="46"/>
      <c r="U800" s="46"/>
      <c r="V800" s="46"/>
      <c r="W800" s="46"/>
      <c r="X800" s="46"/>
      <c r="Y800" s="46"/>
      <c r="Z800" s="46"/>
      <c r="AA800" s="46"/>
    </row>
    <row r="801">
      <c r="A801" s="46"/>
      <c r="B801" s="46"/>
      <c r="C801" s="59" t="str">
        <f t="shared" si="3"/>
        <v/>
      </c>
      <c r="D801" s="46"/>
      <c r="E801" s="57" t="str">
        <f>IFERROR(__xludf.DUMMYFUNCTION("""COMPUTED_VALUE"""),"")</f>
        <v/>
      </c>
      <c r="F801" s="46" t="str">
        <f>IFERROR(__xludf.DUMMYFUNCTION("""COMPUTED_VALUE"""),"")</f>
        <v/>
      </c>
      <c r="G801" s="46"/>
      <c r="H801" s="46"/>
      <c r="I801" s="46"/>
      <c r="J801" s="46"/>
      <c r="K801" s="46"/>
      <c r="L801" s="46"/>
      <c r="M801" s="46"/>
      <c r="N801" s="46"/>
      <c r="O801" s="46"/>
      <c r="P801" s="46"/>
      <c r="Q801" s="46"/>
      <c r="R801" s="46"/>
      <c r="S801" s="46"/>
      <c r="T801" s="46"/>
      <c r="U801" s="46"/>
      <c r="V801" s="46"/>
      <c r="W801" s="46"/>
      <c r="X801" s="46"/>
      <c r="Y801" s="46"/>
      <c r="Z801" s="46"/>
      <c r="AA801" s="46"/>
    </row>
    <row r="802">
      <c r="A802" s="46"/>
      <c r="B802" s="46"/>
      <c r="C802" s="59" t="str">
        <f t="shared" si="3"/>
        <v/>
      </c>
      <c r="D802" s="46"/>
      <c r="E802" s="57" t="str">
        <f>IFERROR(__xludf.DUMMYFUNCTION("""COMPUTED_VALUE"""),"")</f>
        <v/>
      </c>
      <c r="F802" s="46" t="str">
        <f>IFERROR(__xludf.DUMMYFUNCTION("""COMPUTED_VALUE"""),"")</f>
        <v/>
      </c>
      <c r="G802" s="46"/>
      <c r="H802" s="46"/>
      <c r="I802" s="46"/>
      <c r="J802" s="46"/>
      <c r="K802" s="46"/>
      <c r="L802" s="46"/>
      <c r="M802" s="46"/>
      <c r="N802" s="46"/>
      <c r="O802" s="46"/>
      <c r="P802" s="46"/>
      <c r="Q802" s="46"/>
      <c r="R802" s="46"/>
      <c r="S802" s="46"/>
      <c r="T802" s="46"/>
      <c r="U802" s="46"/>
      <c r="V802" s="46"/>
      <c r="W802" s="46"/>
      <c r="X802" s="46"/>
      <c r="Y802" s="46"/>
      <c r="Z802" s="46"/>
      <c r="AA802" s="46"/>
    </row>
    <row r="803">
      <c r="A803" s="46"/>
      <c r="B803" s="46"/>
      <c r="C803" s="59" t="str">
        <f t="shared" si="3"/>
        <v/>
      </c>
      <c r="D803" s="46"/>
      <c r="E803" s="57" t="str">
        <f>IFERROR(__xludf.DUMMYFUNCTION("""COMPUTED_VALUE"""),"")</f>
        <v/>
      </c>
      <c r="F803" s="46" t="str">
        <f>IFERROR(__xludf.DUMMYFUNCTION("""COMPUTED_VALUE"""),"")</f>
        <v/>
      </c>
      <c r="G803" s="46"/>
      <c r="H803" s="46"/>
      <c r="I803" s="46"/>
      <c r="J803" s="46"/>
      <c r="K803" s="46"/>
      <c r="L803" s="46"/>
      <c r="M803" s="46"/>
      <c r="N803" s="46"/>
      <c r="O803" s="46"/>
      <c r="P803" s="46"/>
      <c r="Q803" s="46"/>
      <c r="R803" s="46"/>
      <c r="S803" s="46"/>
      <c r="T803" s="46"/>
      <c r="U803" s="46"/>
      <c r="V803" s="46"/>
      <c r="W803" s="46"/>
      <c r="X803" s="46"/>
      <c r="Y803" s="46"/>
      <c r="Z803" s="46"/>
      <c r="AA803" s="46"/>
    </row>
    <row r="804">
      <c r="A804" s="46"/>
      <c r="B804" s="46"/>
      <c r="C804" s="59" t="str">
        <f t="shared" si="3"/>
        <v/>
      </c>
      <c r="D804" s="46"/>
      <c r="E804" s="57" t="str">
        <f>IFERROR(__xludf.DUMMYFUNCTION("""COMPUTED_VALUE"""),"")</f>
        <v/>
      </c>
      <c r="F804" s="46" t="str">
        <f>IFERROR(__xludf.DUMMYFUNCTION("""COMPUTED_VALUE"""),"")</f>
        <v/>
      </c>
      <c r="G804" s="46"/>
      <c r="H804" s="46"/>
      <c r="I804" s="46"/>
      <c r="J804" s="46"/>
      <c r="K804" s="46"/>
      <c r="L804" s="46"/>
      <c r="M804" s="46"/>
      <c r="N804" s="46"/>
      <c r="O804" s="46"/>
      <c r="P804" s="46"/>
      <c r="Q804" s="46"/>
      <c r="R804" s="46"/>
      <c r="S804" s="46"/>
      <c r="T804" s="46"/>
      <c r="U804" s="46"/>
      <c r="V804" s="46"/>
      <c r="W804" s="46"/>
      <c r="X804" s="46"/>
      <c r="Y804" s="46"/>
      <c r="Z804" s="46"/>
      <c r="AA804" s="46"/>
    </row>
    <row r="805">
      <c r="A805" s="46"/>
      <c r="B805" s="46"/>
      <c r="C805" s="59" t="str">
        <f t="shared" si="3"/>
        <v/>
      </c>
      <c r="D805" s="46"/>
      <c r="E805" s="57" t="str">
        <f>IFERROR(__xludf.DUMMYFUNCTION("""COMPUTED_VALUE"""),"")</f>
        <v/>
      </c>
      <c r="F805" s="46" t="str">
        <f>IFERROR(__xludf.DUMMYFUNCTION("""COMPUTED_VALUE"""),"")</f>
        <v/>
      </c>
      <c r="G805" s="46"/>
      <c r="H805" s="46"/>
      <c r="I805" s="46"/>
      <c r="J805" s="46"/>
      <c r="K805" s="46"/>
      <c r="L805" s="46"/>
      <c r="M805" s="46"/>
      <c r="N805" s="46"/>
      <c r="O805" s="46"/>
      <c r="P805" s="46"/>
      <c r="Q805" s="46"/>
      <c r="R805" s="46"/>
      <c r="S805" s="46"/>
      <c r="T805" s="46"/>
      <c r="U805" s="46"/>
      <c r="V805" s="46"/>
      <c r="W805" s="46"/>
      <c r="X805" s="46"/>
      <c r="Y805" s="46"/>
      <c r="Z805" s="46"/>
      <c r="AA805" s="46"/>
    </row>
    <row r="806">
      <c r="A806" s="46"/>
      <c r="B806" s="46"/>
      <c r="C806" s="59" t="str">
        <f t="shared" si="3"/>
        <v/>
      </c>
      <c r="D806" s="46"/>
      <c r="E806" s="57" t="str">
        <f>IFERROR(__xludf.DUMMYFUNCTION("""COMPUTED_VALUE"""),"")</f>
        <v/>
      </c>
      <c r="F806" s="46" t="str">
        <f>IFERROR(__xludf.DUMMYFUNCTION("""COMPUTED_VALUE"""),"")</f>
        <v/>
      </c>
      <c r="G806" s="46"/>
      <c r="H806" s="46"/>
      <c r="I806" s="46"/>
      <c r="J806" s="46"/>
      <c r="K806" s="46"/>
      <c r="L806" s="46"/>
      <c r="M806" s="46"/>
      <c r="N806" s="46"/>
      <c r="O806" s="46"/>
      <c r="P806" s="46"/>
      <c r="Q806" s="46"/>
      <c r="R806" s="46"/>
      <c r="S806" s="46"/>
      <c r="T806" s="46"/>
      <c r="U806" s="46"/>
      <c r="V806" s="46"/>
      <c r="W806" s="46"/>
      <c r="X806" s="46"/>
      <c r="Y806" s="46"/>
      <c r="Z806" s="46"/>
      <c r="AA806" s="46"/>
    </row>
    <row r="807">
      <c r="A807" s="46"/>
      <c r="B807" s="46"/>
      <c r="C807" s="59" t="str">
        <f t="shared" si="3"/>
        <v/>
      </c>
      <c r="D807" s="46"/>
      <c r="E807" s="57" t="str">
        <f>IFERROR(__xludf.DUMMYFUNCTION("""COMPUTED_VALUE"""),"")</f>
        <v/>
      </c>
      <c r="F807" s="46" t="str">
        <f>IFERROR(__xludf.DUMMYFUNCTION("""COMPUTED_VALUE"""),"")</f>
        <v/>
      </c>
      <c r="G807" s="46"/>
      <c r="H807" s="46"/>
      <c r="I807" s="46"/>
      <c r="J807" s="46"/>
      <c r="K807" s="46"/>
      <c r="L807" s="46"/>
      <c r="M807" s="46"/>
      <c r="N807" s="46"/>
      <c r="O807" s="46"/>
      <c r="P807" s="46"/>
      <c r="Q807" s="46"/>
      <c r="R807" s="46"/>
      <c r="S807" s="46"/>
      <c r="T807" s="46"/>
      <c r="U807" s="46"/>
      <c r="V807" s="46"/>
      <c r="W807" s="46"/>
      <c r="X807" s="46"/>
      <c r="Y807" s="46"/>
      <c r="Z807" s="46"/>
      <c r="AA807" s="46"/>
    </row>
    <row r="808">
      <c r="A808" s="46"/>
      <c r="B808" s="46"/>
      <c r="C808" s="59" t="str">
        <f t="shared" si="3"/>
        <v/>
      </c>
      <c r="D808" s="46"/>
      <c r="E808" s="57" t="str">
        <f>IFERROR(__xludf.DUMMYFUNCTION("""COMPUTED_VALUE"""),"")</f>
        <v/>
      </c>
      <c r="F808" s="46" t="str">
        <f>IFERROR(__xludf.DUMMYFUNCTION("""COMPUTED_VALUE"""),"")</f>
        <v/>
      </c>
      <c r="G808" s="46"/>
      <c r="H808" s="46"/>
      <c r="I808" s="46"/>
      <c r="J808" s="46"/>
      <c r="K808" s="46"/>
      <c r="L808" s="46"/>
      <c r="M808" s="46"/>
      <c r="N808" s="46"/>
      <c r="O808" s="46"/>
      <c r="P808" s="46"/>
      <c r="Q808" s="46"/>
      <c r="R808" s="46"/>
      <c r="S808" s="46"/>
      <c r="T808" s="46"/>
      <c r="U808" s="46"/>
      <c r="V808" s="46"/>
      <c r="W808" s="46"/>
      <c r="X808" s="46"/>
      <c r="Y808" s="46"/>
      <c r="Z808" s="46"/>
      <c r="AA808" s="46"/>
    </row>
    <row r="809">
      <c r="A809" s="46"/>
      <c r="B809" s="46"/>
      <c r="C809" s="59" t="str">
        <f t="shared" si="3"/>
        <v/>
      </c>
      <c r="D809" s="46"/>
      <c r="E809" s="57" t="str">
        <f>IFERROR(__xludf.DUMMYFUNCTION("""COMPUTED_VALUE"""),"")</f>
        <v/>
      </c>
      <c r="F809" s="46" t="str">
        <f>IFERROR(__xludf.DUMMYFUNCTION("""COMPUTED_VALUE"""),"")</f>
        <v/>
      </c>
      <c r="G809" s="46"/>
      <c r="H809" s="46"/>
      <c r="I809" s="46"/>
      <c r="J809" s="46"/>
      <c r="K809" s="46"/>
      <c r="L809" s="46"/>
      <c r="M809" s="46"/>
      <c r="N809" s="46"/>
      <c r="O809" s="46"/>
      <c r="P809" s="46"/>
      <c r="Q809" s="46"/>
      <c r="R809" s="46"/>
      <c r="S809" s="46"/>
      <c r="T809" s="46"/>
      <c r="U809" s="46"/>
      <c r="V809" s="46"/>
      <c r="W809" s="46"/>
      <c r="X809" s="46"/>
      <c r="Y809" s="46"/>
      <c r="Z809" s="46"/>
      <c r="AA809" s="46"/>
    </row>
    <row r="810">
      <c r="A810" s="46"/>
      <c r="B810" s="46"/>
      <c r="C810" s="59" t="str">
        <f t="shared" si="3"/>
        <v/>
      </c>
      <c r="D810" s="46"/>
      <c r="E810" s="57" t="str">
        <f>IFERROR(__xludf.DUMMYFUNCTION("""COMPUTED_VALUE"""),"")</f>
        <v/>
      </c>
      <c r="F810" s="46" t="str">
        <f>IFERROR(__xludf.DUMMYFUNCTION("""COMPUTED_VALUE"""),"")</f>
        <v/>
      </c>
      <c r="G810" s="46"/>
      <c r="H810" s="46"/>
      <c r="I810" s="46"/>
      <c r="J810" s="46"/>
      <c r="K810" s="46"/>
      <c r="L810" s="46"/>
      <c r="M810" s="46"/>
      <c r="N810" s="46"/>
      <c r="O810" s="46"/>
      <c r="P810" s="46"/>
      <c r="Q810" s="46"/>
      <c r="R810" s="46"/>
      <c r="S810" s="46"/>
      <c r="T810" s="46"/>
      <c r="U810" s="46"/>
      <c r="V810" s="46"/>
      <c r="W810" s="46"/>
      <c r="X810" s="46"/>
      <c r="Y810" s="46"/>
      <c r="Z810" s="46"/>
      <c r="AA810" s="46"/>
    </row>
    <row r="811">
      <c r="A811" s="46"/>
      <c r="B811" s="46"/>
      <c r="C811" s="59" t="str">
        <f t="shared" si="3"/>
        <v/>
      </c>
      <c r="D811" s="46"/>
      <c r="E811" s="57" t="str">
        <f>IFERROR(__xludf.DUMMYFUNCTION("""COMPUTED_VALUE"""),"")</f>
        <v/>
      </c>
      <c r="F811" s="46" t="str">
        <f>IFERROR(__xludf.DUMMYFUNCTION("""COMPUTED_VALUE"""),"")</f>
        <v/>
      </c>
      <c r="G811" s="46"/>
      <c r="H811" s="46"/>
      <c r="I811" s="46"/>
      <c r="J811" s="46"/>
      <c r="K811" s="46"/>
      <c r="L811" s="46"/>
      <c r="M811" s="46"/>
      <c r="N811" s="46"/>
      <c r="O811" s="46"/>
      <c r="P811" s="46"/>
      <c r="Q811" s="46"/>
      <c r="R811" s="46"/>
      <c r="S811" s="46"/>
      <c r="T811" s="46"/>
      <c r="U811" s="46"/>
      <c r="V811" s="46"/>
      <c r="W811" s="46"/>
      <c r="X811" s="46"/>
      <c r="Y811" s="46"/>
      <c r="Z811" s="46"/>
      <c r="AA811" s="46"/>
    </row>
    <row r="812">
      <c r="A812" s="46"/>
      <c r="B812" s="46"/>
      <c r="C812" s="59" t="str">
        <f t="shared" si="3"/>
        <v/>
      </c>
      <c r="D812" s="46"/>
      <c r="E812" s="57" t="str">
        <f>IFERROR(__xludf.DUMMYFUNCTION("""COMPUTED_VALUE"""),"")</f>
        <v/>
      </c>
      <c r="F812" s="46" t="str">
        <f>IFERROR(__xludf.DUMMYFUNCTION("""COMPUTED_VALUE"""),"")</f>
        <v/>
      </c>
      <c r="G812" s="46"/>
      <c r="H812" s="46"/>
      <c r="I812" s="46"/>
      <c r="J812" s="46"/>
      <c r="K812" s="46"/>
      <c r="L812" s="46"/>
      <c r="M812" s="46"/>
      <c r="N812" s="46"/>
      <c r="O812" s="46"/>
      <c r="P812" s="46"/>
      <c r="Q812" s="46"/>
      <c r="R812" s="46"/>
      <c r="S812" s="46"/>
      <c r="T812" s="46"/>
      <c r="U812" s="46"/>
      <c r="V812" s="46"/>
      <c r="W812" s="46"/>
      <c r="X812" s="46"/>
      <c r="Y812" s="46"/>
      <c r="Z812" s="46"/>
      <c r="AA812" s="46"/>
    </row>
    <row r="813">
      <c r="A813" s="46"/>
      <c r="B813" s="46"/>
      <c r="C813" s="59" t="str">
        <f t="shared" si="3"/>
        <v/>
      </c>
      <c r="D813" s="46"/>
      <c r="E813" s="57" t="str">
        <f>IFERROR(__xludf.DUMMYFUNCTION("""COMPUTED_VALUE"""),"")</f>
        <v/>
      </c>
      <c r="F813" s="46" t="str">
        <f>IFERROR(__xludf.DUMMYFUNCTION("""COMPUTED_VALUE"""),"")</f>
        <v/>
      </c>
      <c r="G813" s="46"/>
      <c r="H813" s="46"/>
      <c r="I813" s="46"/>
      <c r="J813" s="46"/>
      <c r="K813" s="46"/>
      <c r="L813" s="46"/>
      <c r="M813" s="46"/>
      <c r="N813" s="46"/>
      <c r="O813" s="46"/>
      <c r="P813" s="46"/>
      <c r="Q813" s="46"/>
      <c r="R813" s="46"/>
      <c r="S813" s="46"/>
      <c r="T813" s="46"/>
      <c r="U813" s="46"/>
      <c r="V813" s="46"/>
      <c r="W813" s="46"/>
      <c r="X813" s="46"/>
      <c r="Y813" s="46"/>
      <c r="Z813" s="46"/>
      <c r="AA813" s="46"/>
    </row>
    <row r="814">
      <c r="A814" s="46"/>
      <c r="B814" s="46"/>
      <c r="C814" s="59" t="str">
        <f t="shared" si="3"/>
        <v/>
      </c>
      <c r="D814" s="46"/>
      <c r="E814" s="57" t="str">
        <f>IFERROR(__xludf.DUMMYFUNCTION("""COMPUTED_VALUE"""),"")</f>
        <v/>
      </c>
      <c r="F814" s="46" t="str">
        <f>IFERROR(__xludf.DUMMYFUNCTION("""COMPUTED_VALUE"""),"")</f>
        <v/>
      </c>
      <c r="G814" s="46"/>
      <c r="H814" s="46"/>
      <c r="I814" s="46"/>
      <c r="J814" s="46"/>
      <c r="K814" s="46"/>
      <c r="L814" s="46"/>
      <c r="M814" s="46"/>
      <c r="N814" s="46"/>
      <c r="O814" s="46"/>
      <c r="P814" s="46"/>
      <c r="Q814" s="46"/>
      <c r="R814" s="46"/>
      <c r="S814" s="46"/>
      <c r="T814" s="46"/>
      <c r="U814" s="46"/>
      <c r="V814" s="46"/>
      <c r="W814" s="46"/>
      <c r="X814" s="46"/>
      <c r="Y814" s="46"/>
      <c r="Z814" s="46"/>
      <c r="AA814" s="46"/>
    </row>
    <row r="815">
      <c r="A815" s="46"/>
      <c r="B815" s="46"/>
      <c r="C815" s="59" t="str">
        <f t="shared" si="3"/>
        <v/>
      </c>
      <c r="D815" s="46"/>
      <c r="E815" s="57" t="str">
        <f>IFERROR(__xludf.DUMMYFUNCTION("""COMPUTED_VALUE"""),"")</f>
        <v/>
      </c>
      <c r="F815" s="46" t="str">
        <f>IFERROR(__xludf.DUMMYFUNCTION("""COMPUTED_VALUE"""),"")</f>
        <v/>
      </c>
      <c r="G815" s="46"/>
      <c r="H815" s="46"/>
      <c r="I815" s="46"/>
      <c r="J815" s="46"/>
      <c r="K815" s="46"/>
      <c r="L815" s="46"/>
      <c r="M815" s="46"/>
      <c r="N815" s="46"/>
      <c r="O815" s="46"/>
      <c r="P815" s="46"/>
      <c r="Q815" s="46"/>
      <c r="R815" s="46"/>
      <c r="S815" s="46"/>
      <c r="T815" s="46"/>
      <c r="U815" s="46"/>
      <c r="V815" s="46"/>
      <c r="W815" s="46"/>
      <c r="X815" s="46"/>
      <c r="Y815" s="46"/>
      <c r="Z815" s="46"/>
      <c r="AA815" s="46"/>
    </row>
    <row r="816">
      <c r="A816" s="46"/>
      <c r="B816" s="46"/>
      <c r="C816" s="59" t="str">
        <f t="shared" si="3"/>
        <v/>
      </c>
      <c r="D816" s="46"/>
      <c r="E816" s="57" t="str">
        <f>IFERROR(__xludf.DUMMYFUNCTION("""COMPUTED_VALUE"""),"")</f>
        <v/>
      </c>
      <c r="F816" s="46" t="str">
        <f>IFERROR(__xludf.DUMMYFUNCTION("""COMPUTED_VALUE"""),"")</f>
        <v/>
      </c>
      <c r="G816" s="46"/>
      <c r="H816" s="46"/>
      <c r="I816" s="46"/>
      <c r="J816" s="46"/>
      <c r="K816" s="46"/>
      <c r="L816" s="46"/>
      <c r="M816" s="46"/>
      <c r="N816" s="46"/>
      <c r="O816" s="46"/>
      <c r="P816" s="46"/>
      <c r="Q816" s="46"/>
      <c r="R816" s="46"/>
      <c r="S816" s="46"/>
      <c r="T816" s="46"/>
      <c r="U816" s="46"/>
      <c r="V816" s="46"/>
      <c r="W816" s="46"/>
      <c r="X816" s="46"/>
      <c r="Y816" s="46"/>
      <c r="Z816" s="46"/>
      <c r="AA816" s="46"/>
    </row>
    <row r="817">
      <c r="A817" s="46"/>
      <c r="B817" s="46"/>
      <c r="C817" s="59" t="str">
        <f t="shared" si="3"/>
        <v/>
      </c>
      <c r="D817" s="46"/>
      <c r="E817" s="57" t="str">
        <f>IFERROR(__xludf.DUMMYFUNCTION("""COMPUTED_VALUE"""),"")</f>
        <v/>
      </c>
      <c r="F817" s="46" t="str">
        <f>IFERROR(__xludf.DUMMYFUNCTION("""COMPUTED_VALUE"""),"")</f>
        <v/>
      </c>
      <c r="G817" s="46"/>
      <c r="H817" s="46"/>
      <c r="I817" s="46"/>
      <c r="J817" s="46"/>
      <c r="K817" s="46"/>
      <c r="L817" s="46"/>
      <c r="M817" s="46"/>
      <c r="N817" s="46"/>
      <c r="O817" s="46"/>
      <c r="P817" s="46"/>
      <c r="Q817" s="46"/>
      <c r="R817" s="46"/>
      <c r="S817" s="46"/>
      <c r="T817" s="46"/>
      <c r="U817" s="46"/>
      <c r="V817" s="46"/>
      <c r="W817" s="46"/>
      <c r="X817" s="46"/>
      <c r="Y817" s="46"/>
      <c r="Z817" s="46"/>
      <c r="AA817" s="46"/>
    </row>
    <row r="818">
      <c r="A818" s="46"/>
      <c r="B818" s="46"/>
      <c r="C818" s="59" t="str">
        <f t="shared" si="3"/>
        <v/>
      </c>
      <c r="D818" s="46"/>
      <c r="E818" s="57" t="str">
        <f>IFERROR(__xludf.DUMMYFUNCTION("""COMPUTED_VALUE"""),"")</f>
        <v/>
      </c>
      <c r="F818" s="46" t="str">
        <f>IFERROR(__xludf.DUMMYFUNCTION("""COMPUTED_VALUE"""),"")</f>
        <v/>
      </c>
      <c r="G818" s="46"/>
      <c r="H818" s="46"/>
      <c r="I818" s="46"/>
      <c r="J818" s="46"/>
      <c r="K818" s="46"/>
      <c r="L818" s="46"/>
      <c r="M818" s="46"/>
      <c r="N818" s="46"/>
      <c r="O818" s="46"/>
      <c r="P818" s="46"/>
      <c r="Q818" s="46"/>
      <c r="R818" s="46"/>
      <c r="S818" s="46"/>
      <c r="T818" s="46"/>
      <c r="U818" s="46"/>
      <c r="V818" s="46"/>
      <c r="W818" s="46"/>
      <c r="X818" s="46"/>
      <c r="Y818" s="46"/>
      <c r="Z818" s="46"/>
      <c r="AA818" s="46"/>
    </row>
    <row r="819">
      <c r="A819" s="46"/>
      <c r="B819" s="46"/>
      <c r="C819" s="59" t="str">
        <f t="shared" si="3"/>
        <v/>
      </c>
      <c r="D819" s="46"/>
      <c r="E819" s="57" t="str">
        <f>IFERROR(__xludf.DUMMYFUNCTION("""COMPUTED_VALUE"""),"")</f>
        <v/>
      </c>
      <c r="F819" s="46" t="str">
        <f>IFERROR(__xludf.DUMMYFUNCTION("""COMPUTED_VALUE"""),"")</f>
        <v/>
      </c>
      <c r="G819" s="46"/>
      <c r="H819" s="46"/>
      <c r="I819" s="46"/>
      <c r="J819" s="46"/>
      <c r="K819" s="46"/>
      <c r="L819" s="46"/>
      <c r="M819" s="46"/>
      <c r="N819" s="46"/>
      <c r="O819" s="46"/>
      <c r="P819" s="46"/>
      <c r="Q819" s="46"/>
      <c r="R819" s="46"/>
      <c r="S819" s="46"/>
      <c r="T819" s="46"/>
      <c r="U819" s="46"/>
      <c r="V819" s="46"/>
      <c r="W819" s="46"/>
      <c r="X819" s="46"/>
      <c r="Y819" s="46"/>
      <c r="Z819" s="46"/>
      <c r="AA819" s="46"/>
    </row>
    <row r="820">
      <c r="A820" s="46"/>
      <c r="B820" s="46"/>
      <c r="C820" s="59" t="str">
        <f t="shared" si="3"/>
        <v/>
      </c>
      <c r="D820" s="46"/>
      <c r="E820" s="57" t="str">
        <f>IFERROR(__xludf.DUMMYFUNCTION("""COMPUTED_VALUE"""),"")</f>
        <v/>
      </c>
      <c r="F820" s="46" t="str">
        <f>IFERROR(__xludf.DUMMYFUNCTION("""COMPUTED_VALUE"""),"")</f>
        <v/>
      </c>
      <c r="G820" s="46"/>
      <c r="H820" s="46"/>
      <c r="I820" s="46"/>
      <c r="J820" s="46"/>
      <c r="K820" s="46"/>
      <c r="L820" s="46"/>
      <c r="M820" s="46"/>
      <c r="N820" s="46"/>
      <c r="O820" s="46"/>
      <c r="P820" s="46"/>
      <c r="Q820" s="46"/>
      <c r="R820" s="46"/>
      <c r="S820" s="46"/>
      <c r="T820" s="46"/>
      <c r="U820" s="46"/>
      <c r="V820" s="46"/>
      <c r="W820" s="46"/>
      <c r="X820" s="46"/>
      <c r="Y820" s="46"/>
      <c r="Z820" s="46"/>
      <c r="AA820" s="46"/>
    </row>
    <row r="821">
      <c r="A821" s="46"/>
      <c r="B821" s="46"/>
      <c r="C821" s="59" t="str">
        <f t="shared" si="3"/>
        <v/>
      </c>
      <c r="D821" s="46"/>
      <c r="E821" s="57" t="str">
        <f>IFERROR(__xludf.DUMMYFUNCTION("""COMPUTED_VALUE"""),"")</f>
        <v/>
      </c>
      <c r="F821" s="46" t="str">
        <f>IFERROR(__xludf.DUMMYFUNCTION("""COMPUTED_VALUE"""),"")</f>
        <v/>
      </c>
      <c r="G821" s="46"/>
      <c r="H821" s="46"/>
      <c r="I821" s="46"/>
      <c r="J821" s="46"/>
      <c r="K821" s="46"/>
      <c r="L821" s="46"/>
      <c r="M821" s="46"/>
      <c r="N821" s="46"/>
      <c r="O821" s="46"/>
      <c r="P821" s="46"/>
      <c r="Q821" s="46"/>
      <c r="R821" s="46"/>
      <c r="S821" s="46"/>
      <c r="T821" s="46"/>
      <c r="U821" s="46"/>
      <c r="V821" s="46"/>
      <c r="W821" s="46"/>
      <c r="X821" s="46"/>
      <c r="Y821" s="46"/>
      <c r="Z821" s="46"/>
      <c r="AA821" s="46"/>
    </row>
    <row r="822">
      <c r="A822" s="46"/>
      <c r="B822" s="46"/>
      <c r="C822" s="59" t="str">
        <f t="shared" si="3"/>
        <v/>
      </c>
      <c r="D822" s="46"/>
      <c r="E822" s="57" t="str">
        <f>IFERROR(__xludf.DUMMYFUNCTION("""COMPUTED_VALUE"""),"")</f>
        <v/>
      </c>
      <c r="F822" s="46" t="str">
        <f>IFERROR(__xludf.DUMMYFUNCTION("""COMPUTED_VALUE"""),"")</f>
        <v/>
      </c>
      <c r="G822" s="46"/>
      <c r="H822" s="46"/>
      <c r="I822" s="46"/>
      <c r="J822" s="46"/>
      <c r="K822" s="46"/>
      <c r="L822" s="46"/>
      <c r="M822" s="46"/>
      <c r="N822" s="46"/>
      <c r="O822" s="46"/>
      <c r="P822" s="46"/>
      <c r="Q822" s="46"/>
      <c r="R822" s="46"/>
      <c r="S822" s="46"/>
      <c r="T822" s="46"/>
      <c r="U822" s="46"/>
      <c r="V822" s="46"/>
      <c r="W822" s="46"/>
      <c r="X822" s="46"/>
      <c r="Y822" s="46"/>
      <c r="Z822" s="46"/>
      <c r="AA822" s="46"/>
    </row>
    <row r="823">
      <c r="A823" s="46"/>
      <c r="B823" s="46"/>
      <c r="C823" s="59" t="str">
        <f t="shared" si="3"/>
        <v/>
      </c>
      <c r="D823" s="46"/>
      <c r="E823" s="57" t="str">
        <f>IFERROR(__xludf.DUMMYFUNCTION("""COMPUTED_VALUE"""),"")</f>
        <v/>
      </c>
      <c r="F823" s="46" t="str">
        <f>IFERROR(__xludf.DUMMYFUNCTION("""COMPUTED_VALUE"""),"")</f>
        <v/>
      </c>
      <c r="G823" s="46"/>
      <c r="H823" s="46"/>
      <c r="I823" s="46"/>
      <c r="J823" s="46"/>
      <c r="K823" s="46"/>
      <c r="L823" s="46"/>
      <c r="M823" s="46"/>
      <c r="N823" s="46"/>
      <c r="O823" s="46"/>
      <c r="P823" s="46"/>
      <c r="Q823" s="46"/>
      <c r="R823" s="46"/>
      <c r="S823" s="46"/>
      <c r="T823" s="46"/>
      <c r="U823" s="46"/>
      <c r="V823" s="46"/>
      <c r="W823" s="46"/>
      <c r="X823" s="46"/>
      <c r="Y823" s="46"/>
      <c r="Z823" s="46"/>
      <c r="AA823" s="46"/>
    </row>
    <row r="824">
      <c r="A824" s="46"/>
      <c r="B824" s="46"/>
      <c r="C824" s="59" t="str">
        <f t="shared" si="3"/>
        <v/>
      </c>
      <c r="D824" s="46"/>
      <c r="E824" s="57" t="str">
        <f>IFERROR(__xludf.DUMMYFUNCTION("""COMPUTED_VALUE"""),"")</f>
        <v/>
      </c>
      <c r="F824" s="46" t="str">
        <f>IFERROR(__xludf.DUMMYFUNCTION("""COMPUTED_VALUE"""),"")</f>
        <v/>
      </c>
      <c r="G824" s="46"/>
      <c r="H824" s="46"/>
      <c r="I824" s="46"/>
      <c r="J824" s="46"/>
      <c r="K824" s="46"/>
      <c r="L824" s="46"/>
      <c r="M824" s="46"/>
      <c r="N824" s="46"/>
      <c r="O824" s="46"/>
      <c r="P824" s="46"/>
      <c r="Q824" s="46"/>
      <c r="R824" s="46"/>
      <c r="S824" s="46"/>
      <c r="T824" s="46"/>
      <c r="U824" s="46"/>
      <c r="V824" s="46"/>
      <c r="W824" s="46"/>
      <c r="X824" s="46"/>
      <c r="Y824" s="46"/>
      <c r="Z824" s="46"/>
      <c r="AA824" s="46"/>
    </row>
    <row r="825">
      <c r="A825" s="46"/>
      <c r="B825" s="46"/>
      <c r="C825" s="59" t="str">
        <f t="shared" si="3"/>
        <v/>
      </c>
      <c r="D825" s="46"/>
      <c r="E825" s="57" t="str">
        <f>IFERROR(__xludf.DUMMYFUNCTION("""COMPUTED_VALUE"""),"")</f>
        <v/>
      </c>
      <c r="F825" s="46" t="str">
        <f>IFERROR(__xludf.DUMMYFUNCTION("""COMPUTED_VALUE"""),"")</f>
        <v/>
      </c>
      <c r="G825" s="46"/>
      <c r="H825" s="46"/>
      <c r="I825" s="46"/>
      <c r="J825" s="46"/>
      <c r="K825" s="46"/>
      <c r="L825" s="46"/>
      <c r="M825" s="46"/>
      <c r="N825" s="46"/>
      <c r="O825" s="46"/>
      <c r="P825" s="46"/>
      <c r="Q825" s="46"/>
      <c r="R825" s="46"/>
      <c r="S825" s="46"/>
      <c r="T825" s="46"/>
      <c r="U825" s="46"/>
      <c r="V825" s="46"/>
      <c r="W825" s="46"/>
      <c r="X825" s="46"/>
      <c r="Y825" s="46"/>
      <c r="Z825" s="46"/>
      <c r="AA825" s="46"/>
    </row>
    <row r="826">
      <c r="A826" s="46"/>
      <c r="B826" s="46"/>
      <c r="C826" s="59" t="str">
        <f t="shared" si="3"/>
        <v/>
      </c>
      <c r="D826" s="46"/>
      <c r="E826" s="57" t="str">
        <f>IFERROR(__xludf.DUMMYFUNCTION("""COMPUTED_VALUE"""),"")</f>
        <v/>
      </c>
      <c r="F826" s="46" t="str">
        <f>IFERROR(__xludf.DUMMYFUNCTION("""COMPUTED_VALUE"""),"")</f>
        <v/>
      </c>
      <c r="G826" s="46"/>
      <c r="H826" s="46"/>
      <c r="I826" s="46"/>
      <c r="J826" s="46"/>
      <c r="K826" s="46"/>
      <c r="L826" s="46"/>
      <c r="M826" s="46"/>
      <c r="N826" s="46"/>
      <c r="O826" s="46"/>
      <c r="P826" s="46"/>
      <c r="Q826" s="46"/>
      <c r="R826" s="46"/>
      <c r="S826" s="46"/>
      <c r="T826" s="46"/>
      <c r="U826" s="46"/>
      <c r="V826" s="46"/>
      <c r="W826" s="46"/>
      <c r="X826" s="46"/>
      <c r="Y826" s="46"/>
      <c r="Z826" s="46"/>
      <c r="AA826" s="46"/>
    </row>
    <row r="827">
      <c r="A827" s="46"/>
      <c r="B827" s="46"/>
      <c r="C827" s="59" t="str">
        <f t="shared" si="3"/>
        <v/>
      </c>
      <c r="D827" s="46"/>
      <c r="E827" s="57" t="str">
        <f>IFERROR(__xludf.DUMMYFUNCTION("""COMPUTED_VALUE"""),"")</f>
        <v/>
      </c>
      <c r="F827" s="46" t="str">
        <f>IFERROR(__xludf.DUMMYFUNCTION("""COMPUTED_VALUE"""),"")</f>
        <v/>
      </c>
      <c r="G827" s="46"/>
      <c r="H827" s="46"/>
      <c r="I827" s="46"/>
      <c r="J827" s="46"/>
      <c r="K827" s="46"/>
      <c r="L827" s="46"/>
      <c r="M827" s="46"/>
      <c r="N827" s="46"/>
      <c r="O827" s="46"/>
      <c r="P827" s="46"/>
      <c r="Q827" s="46"/>
      <c r="R827" s="46"/>
      <c r="S827" s="46"/>
      <c r="T827" s="46"/>
      <c r="U827" s="46"/>
      <c r="V827" s="46"/>
      <c r="W827" s="46"/>
      <c r="X827" s="46"/>
      <c r="Y827" s="46"/>
      <c r="Z827" s="46"/>
      <c r="AA827" s="46"/>
    </row>
    <row r="828">
      <c r="A828" s="46"/>
      <c r="B828" s="46"/>
      <c r="C828" s="59" t="str">
        <f t="shared" si="3"/>
        <v/>
      </c>
      <c r="D828" s="46"/>
      <c r="E828" s="57" t="str">
        <f>IFERROR(__xludf.DUMMYFUNCTION("""COMPUTED_VALUE"""),"")</f>
        <v/>
      </c>
      <c r="F828" s="46" t="str">
        <f>IFERROR(__xludf.DUMMYFUNCTION("""COMPUTED_VALUE"""),"")</f>
        <v/>
      </c>
      <c r="G828" s="46"/>
      <c r="H828" s="46"/>
      <c r="I828" s="46"/>
      <c r="J828" s="46"/>
      <c r="K828" s="46"/>
      <c r="L828" s="46"/>
      <c r="M828" s="46"/>
      <c r="N828" s="46"/>
      <c r="O828" s="46"/>
      <c r="P828" s="46"/>
      <c r="Q828" s="46"/>
      <c r="R828" s="46"/>
      <c r="S828" s="46"/>
      <c r="T828" s="46"/>
      <c r="U828" s="46"/>
      <c r="V828" s="46"/>
      <c r="W828" s="46"/>
      <c r="X828" s="46"/>
      <c r="Y828" s="46"/>
      <c r="Z828" s="46"/>
      <c r="AA828" s="46"/>
    </row>
    <row r="829">
      <c r="A829" s="46"/>
      <c r="B829" s="46"/>
      <c r="C829" s="59" t="str">
        <f t="shared" si="3"/>
        <v/>
      </c>
      <c r="D829" s="46"/>
      <c r="E829" s="57" t="str">
        <f>IFERROR(__xludf.DUMMYFUNCTION("""COMPUTED_VALUE"""),"")</f>
        <v/>
      </c>
      <c r="F829" s="46" t="str">
        <f>IFERROR(__xludf.DUMMYFUNCTION("""COMPUTED_VALUE"""),"")</f>
        <v/>
      </c>
      <c r="G829" s="46"/>
      <c r="H829" s="46"/>
      <c r="I829" s="46"/>
      <c r="J829" s="46"/>
      <c r="K829" s="46"/>
      <c r="L829" s="46"/>
      <c r="M829" s="46"/>
      <c r="N829" s="46"/>
      <c r="O829" s="46"/>
      <c r="P829" s="46"/>
      <c r="Q829" s="46"/>
      <c r="R829" s="46"/>
      <c r="S829" s="46"/>
      <c r="T829" s="46"/>
      <c r="U829" s="46"/>
      <c r="V829" s="46"/>
      <c r="W829" s="46"/>
      <c r="X829" s="46"/>
      <c r="Y829" s="46"/>
      <c r="Z829" s="46"/>
      <c r="AA829" s="46"/>
    </row>
    <row r="830">
      <c r="A830" s="46"/>
      <c r="B830" s="46"/>
      <c r="C830" s="59" t="str">
        <f t="shared" si="3"/>
        <v/>
      </c>
      <c r="D830" s="46"/>
      <c r="E830" s="57" t="str">
        <f>IFERROR(__xludf.DUMMYFUNCTION("""COMPUTED_VALUE"""),"")</f>
        <v/>
      </c>
      <c r="F830" s="46" t="str">
        <f>IFERROR(__xludf.DUMMYFUNCTION("""COMPUTED_VALUE"""),"")</f>
        <v/>
      </c>
      <c r="G830" s="46"/>
      <c r="H830" s="46"/>
      <c r="I830" s="46"/>
      <c r="J830" s="46"/>
      <c r="K830" s="46"/>
      <c r="L830" s="46"/>
      <c r="M830" s="46"/>
      <c r="N830" s="46"/>
      <c r="O830" s="46"/>
      <c r="P830" s="46"/>
      <c r="Q830" s="46"/>
      <c r="R830" s="46"/>
      <c r="S830" s="46"/>
      <c r="T830" s="46"/>
      <c r="U830" s="46"/>
      <c r="V830" s="46"/>
      <c r="W830" s="46"/>
      <c r="X830" s="46"/>
      <c r="Y830" s="46"/>
      <c r="Z830" s="46"/>
      <c r="AA830" s="46"/>
    </row>
    <row r="831">
      <c r="A831" s="46"/>
      <c r="B831" s="46"/>
      <c r="C831" s="59" t="str">
        <f t="shared" si="3"/>
        <v/>
      </c>
      <c r="D831" s="46"/>
      <c r="E831" s="57" t="str">
        <f>IFERROR(__xludf.DUMMYFUNCTION("""COMPUTED_VALUE"""),"")</f>
        <v/>
      </c>
      <c r="F831" s="46" t="str">
        <f>IFERROR(__xludf.DUMMYFUNCTION("""COMPUTED_VALUE"""),"")</f>
        <v/>
      </c>
      <c r="G831" s="46"/>
      <c r="H831" s="46"/>
      <c r="I831" s="46"/>
      <c r="J831" s="46"/>
      <c r="K831" s="46"/>
      <c r="L831" s="46"/>
      <c r="M831" s="46"/>
      <c r="N831" s="46"/>
      <c r="O831" s="46"/>
      <c r="P831" s="46"/>
      <c r="Q831" s="46"/>
      <c r="R831" s="46"/>
      <c r="S831" s="46"/>
      <c r="T831" s="46"/>
      <c r="U831" s="46"/>
      <c r="V831" s="46"/>
      <c r="W831" s="46"/>
      <c r="X831" s="46"/>
      <c r="Y831" s="46"/>
      <c r="Z831" s="46"/>
      <c r="AA831" s="46"/>
    </row>
    <row r="832">
      <c r="A832" s="46"/>
      <c r="B832" s="46"/>
      <c r="C832" s="59" t="str">
        <f t="shared" si="3"/>
        <v/>
      </c>
      <c r="D832" s="46"/>
      <c r="E832" s="57" t="str">
        <f>IFERROR(__xludf.DUMMYFUNCTION("""COMPUTED_VALUE"""),"")</f>
        <v/>
      </c>
      <c r="F832" s="46" t="str">
        <f>IFERROR(__xludf.DUMMYFUNCTION("""COMPUTED_VALUE"""),"")</f>
        <v/>
      </c>
      <c r="G832" s="46"/>
      <c r="H832" s="46"/>
      <c r="I832" s="46"/>
      <c r="J832" s="46"/>
      <c r="K832" s="46"/>
      <c r="L832" s="46"/>
      <c r="M832" s="46"/>
      <c r="N832" s="46"/>
      <c r="O832" s="46"/>
      <c r="P832" s="46"/>
      <c r="Q832" s="46"/>
      <c r="R832" s="46"/>
      <c r="S832" s="46"/>
      <c r="T832" s="46"/>
      <c r="U832" s="46"/>
      <c r="V832" s="46"/>
      <c r="W832" s="46"/>
      <c r="X832" s="46"/>
      <c r="Y832" s="46"/>
      <c r="Z832" s="46"/>
      <c r="AA832" s="46"/>
    </row>
    <row r="833">
      <c r="A833" s="46"/>
      <c r="B833" s="46"/>
      <c r="C833" s="59" t="str">
        <f t="shared" si="3"/>
        <v/>
      </c>
      <c r="D833" s="46"/>
      <c r="E833" s="57" t="str">
        <f>IFERROR(__xludf.DUMMYFUNCTION("""COMPUTED_VALUE"""),"")</f>
        <v/>
      </c>
      <c r="F833" s="46" t="str">
        <f>IFERROR(__xludf.DUMMYFUNCTION("""COMPUTED_VALUE"""),"")</f>
        <v/>
      </c>
      <c r="G833" s="46"/>
      <c r="H833" s="46"/>
      <c r="I833" s="46"/>
      <c r="J833" s="46"/>
      <c r="K833" s="46"/>
      <c r="L833" s="46"/>
      <c r="M833" s="46"/>
      <c r="N833" s="46"/>
      <c r="O833" s="46"/>
      <c r="P833" s="46"/>
      <c r="Q833" s="46"/>
      <c r="R833" s="46"/>
      <c r="S833" s="46"/>
      <c r="T833" s="46"/>
      <c r="U833" s="46"/>
      <c r="V833" s="46"/>
      <c r="W833" s="46"/>
      <c r="X833" s="46"/>
      <c r="Y833" s="46"/>
      <c r="Z833" s="46"/>
      <c r="AA833" s="46"/>
    </row>
    <row r="834">
      <c r="A834" s="46"/>
      <c r="B834" s="46"/>
      <c r="C834" s="59" t="str">
        <f t="shared" si="3"/>
        <v/>
      </c>
      <c r="D834" s="46"/>
      <c r="E834" s="57" t="str">
        <f>IFERROR(__xludf.DUMMYFUNCTION("""COMPUTED_VALUE"""),"")</f>
        <v/>
      </c>
      <c r="F834" s="46" t="str">
        <f>IFERROR(__xludf.DUMMYFUNCTION("""COMPUTED_VALUE"""),"")</f>
        <v/>
      </c>
      <c r="G834" s="46"/>
      <c r="H834" s="46"/>
      <c r="I834" s="46"/>
      <c r="J834" s="46"/>
      <c r="K834" s="46"/>
      <c r="L834" s="46"/>
      <c r="M834" s="46"/>
      <c r="N834" s="46"/>
      <c r="O834" s="46"/>
      <c r="P834" s="46"/>
      <c r="Q834" s="46"/>
      <c r="R834" s="46"/>
      <c r="S834" s="46"/>
      <c r="T834" s="46"/>
      <c r="U834" s="46"/>
      <c r="V834" s="46"/>
      <c r="W834" s="46"/>
      <c r="X834" s="46"/>
      <c r="Y834" s="46"/>
      <c r="Z834" s="46"/>
      <c r="AA834" s="46"/>
    </row>
    <row r="835">
      <c r="A835" s="46"/>
      <c r="B835" s="46"/>
      <c r="C835" s="59" t="str">
        <f t="shared" si="3"/>
        <v/>
      </c>
      <c r="D835" s="46"/>
      <c r="E835" s="57" t="str">
        <f>IFERROR(__xludf.DUMMYFUNCTION("""COMPUTED_VALUE"""),"")</f>
        <v/>
      </c>
      <c r="F835" s="46" t="str">
        <f>IFERROR(__xludf.DUMMYFUNCTION("""COMPUTED_VALUE"""),"")</f>
        <v/>
      </c>
      <c r="G835" s="46"/>
      <c r="H835" s="46"/>
      <c r="I835" s="46"/>
      <c r="J835" s="46"/>
      <c r="K835" s="46"/>
      <c r="L835" s="46"/>
      <c r="M835" s="46"/>
      <c r="N835" s="46"/>
      <c r="O835" s="46"/>
      <c r="P835" s="46"/>
      <c r="Q835" s="46"/>
      <c r="R835" s="46"/>
      <c r="S835" s="46"/>
      <c r="T835" s="46"/>
      <c r="U835" s="46"/>
      <c r="V835" s="46"/>
      <c r="W835" s="46"/>
      <c r="X835" s="46"/>
      <c r="Y835" s="46"/>
      <c r="Z835" s="46"/>
      <c r="AA835" s="46"/>
    </row>
    <row r="836">
      <c r="A836" s="46"/>
      <c r="B836" s="46"/>
      <c r="C836" s="59" t="str">
        <f t="shared" si="3"/>
        <v/>
      </c>
      <c r="D836" s="46"/>
      <c r="E836" s="57" t="str">
        <f>IFERROR(__xludf.DUMMYFUNCTION("""COMPUTED_VALUE"""),"")</f>
        <v/>
      </c>
      <c r="F836" s="46" t="str">
        <f>IFERROR(__xludf.DUMMYFUNCTION("""COMPUTED_VALUE"""),"")</f>
        <v/>
      </c>
      <c r="G836" s="46"/>
      <c r="H836" s="46"/>
      <c r="I836" s="46"/>
      <c r="J836" s="46"/>
      <c r="K836" s="46"/>
      <c r="L836" s="46"/>
      <c r="M836" s="46"/>
      <c r="N836" s="46"/>
      <c r="O836" s="46"/>
      <c r="P836" s="46"/>
      <c r="Q836" s="46"/>
      <c r="R836" s="46"/>
      <c r="S836" s="46"/>
      <c r="T836" s="46"/>
      <c r="U836" s="46"/>
      <c r="V836" s="46"/>
      <c r="W836" s="46"/>
      <c r="X836" s="46"/>
      <c r="Y836" s="46"/>
      <c r="Z836" s="46"/>
      <c r="AA836" s="46"/>
    </row>
    <row r="837">
      <c r="A837" s="46"/>
      <c r="B837" s="46"/>
      <c r="C837" s="59" t="str">
        <f t="shared" si="3"/>
        <v/>
      </c>
      <c r="D837" s="46"/>
      <c r="E837" s="57" t="str">
        <f>IFERROR(__xludf.DUMMYFUNCTION("""COMPUTED_VALUE"""),"")</f>
        <v/>
      </c>
      <c r="F837" s="46" t="str">
        <f>IFERROR(__xludf.DUMMYFUNCTION("""COMPUTED_VALUE"""),"")</f>
        <v/>
      </c>
      <c r="G837" s="46"/>
      <c r="H837" s="46"/>
      <c r="I837" s="46"/>
      <c r="J837" s="46"/>
      <c r="K837" s="46"/>
      <c r="L837" s="46"/>
      <c r="M837" s="46"/>
      <c r="N837" s="46"/>
      <c r="O837" s="46"/>
      <c r="P837" s="46"/>
      <c r="Q837" s="46"/>
      <c r="R837" s="46"/>
      <c r="S837" s="46"/>
      <c r="T837" s="46"/>
      <c r="U837" s="46"/>
      <c r="V837" s="46"/>
      <c r="W837" s="46"/>
      <c r="X837" s="46"/>
      <c r="Y837" s="46"/>
      <c r="Z837" s="46"/>
      <c r="AA837" s="46"/>
    </row>
    <row r="838">
      <c r="A838" s="46"/>
      <c r="B838" s="46"/>
      <c r="C838" s="59" t="str">
        <f t="shared" si="3"/>
        <v/>
      </c>
      <c r="D838" s="46"/>
      <c r="E838" s="57" t="str">
        <f>IFERROR(__xludf.DUMMYFUNCTION("""COMPUTED_VALUE"""),"")</f>
        <v/>
      </c>
      <c r="F838" s="46" t="str">
        <f>IFERROR(__xludf.DUMMYFUNCTION("""COMPUTED_VALUE"""),"")</f>
        <v/>
      </c>
      <c r="G838" s="46"/>
      <c r="H838" s="46"/>
      <c r="I838" s="46"/>
      <c r="J838" s="46"/>
      <c r="K838" s="46"/>
      <c r="L838" s="46"/>
      <c r="M838" s="46"/>
      <c r="N838" s="46"/>
      <c r="O838" s="46"/>
      <c r="P838" s="46"/>
      <c r="Q838" s="46"/>
      <c r="R838" s="46"/>
      <c r="S838" s="46"/>
      <c r="T838" s="46"/>
      <c r="U838" s="46"/>
      <c r="V838" s="46"/>
      <c r="W838" s="46"/>
      <c r="X838" s="46"/>
      <c r="Y838" s="46"/>
      <c r="Z838" s="46"/>
      <c r="AA838" s="46"/>
    </row>
    <row r="839">
      <c r="A839" s="46"/>
      <c r="B839" s="46"/>
      <c r="C839" s="59" t="str">
        <f t="shared" si="3"/>
        <v/>
      </c>
      <c r="D839" s="46"/>
      <c r="E839" s="57" t="str">
        <f>IFERROR(__xludf.DUMMYFUNCTION("""COMPUTED_VALUE"""),"")</f>
        <v/>
      </c>
      <c r="F839" s="46" t="str">
        <f>IFERROR(__xludf.DUMMYFUNCTION("""COMPUTED_VALUE"""),"")</f>
        <v/>
      </c>
      <c r="G839" s="46"/>
      <c r="H839" s="46"/>
      <c r="I839" s="46"/>
      <c r="J839" s="46"/>
      <c r="K839" s="46"/>
      <c r="L839" s="46"/>
      <c r="M839" s="46"/>
      <c r="N839" s="46"/>
      <c r="O839" s="46"/>
      <c r="P839" s="46"/>
      <c r="Q839" s="46"/>
      <c r="R839" s="46"/>
      <c r="S839" s="46"/>
      <c r="T839" s="46"/>
      <c r="U839" s="46"/>
      <c r="V839" s="46"/>
      <c r="W839" s="46"/>
      <c r="X839" s="46"/>
      <c r="Y839" s="46"/>
      <c r="Z839" s="46"/>
      <c r="AA839" s="46"/>
    </row>
    <row r="840">
      <c r="A840" s="46"/>
      <c r="B840" s="46"/>
      <c r="C840" s="59" t="str">
        <f t="shared" si="3"/>
        <v/>
      </c>
      <c r="D840" s="46"/>
      <c r="E840" s="57" t="str">
        <f>IFERROR(__xludf.DUMMYFUNCTION("""COMPUTED_VALUE"""),"")</f>
        <v/>
      </c>
      <c r="F840" s="46" t="str">
        <f>IFERROR(__xludf.DUMMYFUNCTION("""COMPUTED_VALUE"""),"")</f>
        <v/>
      </c>
      <c r="G840" s="46"/>
      <c r="H840" s="46"/>
      <c r="I840" s="46"/>
      <c r="J840" s="46"/>
      <c r="K840" s="46"/>
      <c r="L840" s="46"/>
      <c r="M840" s="46"/>
      <c r="N840" s="46"/>
      <c r="O840" s="46"/>
      <c r="P840" s="46"/>
      <c r="Q840" s="46"/>
      <c r="R840" s="46"/>
      <c r="S840" s="46"/>
      <c r="T840" s="46"/>
      <c r="U840" s="46"/>
      <c r="V840" s="46"/>
      <c r="W840" s="46"/>
      <c r="X840" s="46"/>
      <c r="Y840" s="46"/>
      <c r="Z840" s="46"/>
      <c r="AA840" s="46"/>
    </row>
    <row r="841">
      <c r="A841" s="46"/>
      <c r="B841" s="46"/>
      <c r="C841" s="59" t="str">
        <f t="shared" si="3"/>
        <v/>
      </c>
      <c r="D841" s="46"/>
      <c r="E841" s="57" t="str">
        <f>IFERROR(__xludf.DUMMYFUNCTION("""COMPUTED_VALUE"""),"")</f>
        <v/>
      </c>
      <c r="F841" s="46" t="str">
        <f>IFERROR(__xludf.DUMMYFUNCTION("""COMPUTED_VALUE"""),"")</f>
        <v/>
      </c>
      <c r="G841" s="46"/>
      <c r="H841" s="46"/>
      <c r="I841" s="46"/>
      <c r="J841" s="46"/>
      <c r="K841" s="46"/>
      <c r="L841" s="46"/>
      <c r="M841" s="46"/>
      <c r="N841" s="46"/>
      <c r="O841" s="46"/>
      <c r="P841" s="46"/>
      <c r="Q841" s="46"/>
      <c r="R841" s="46"/>
      <c r="S841" s="46"/>
      <c r="T841" s="46"/>
      <c r="U841" s="46"/>
      <c r="V841" s="46"/>
      <c r="W841" s="46"/>
      <c r="X841" s="46"/>
      <c r="Y841" s="46"/>
      <c r="Z841" s="46"/>
      <c r="AA841" s="46"/>
    </row>
    <row r="842">
      <c r="A842" s="46"/>
      <c r="B842" s="46"/>
      <c r="C842" s="59" t="str">
        <f t="shared" si="3"/>
        <v/>
      </c>
      <c r="D842" s="46"/>
      <c r="E842" s="57" t="str">
        <f>IFERROR(__xludf.DUMMYFUNCTION("""COMPUTED_VALUE"""),"")</f>
        <v/>
      </c>
      <c r="F842" s="46" t="str">
        <f>IFERROR(__xludf.DUMMYFUNCTION("""COMPUTED_VALUE"""),"")</f>
        <v/>
      </c>
      <c r="G842" s="46"/>
      <c r="H842" s="46"/>
      <c r="I842" s="46"/>
      <c r="J842" s="46"/>
      <c r="K842" s="46"/>
      <c r="L842" s="46"/>
      <c r="M842" s="46"/>
      <c r="N842" s="46"/>
      <c r="O842" s="46"/>
      <c r="P842" s="46"/>
      <c r="Q842" s="46"/>
      <c r="R842" s="46"/>
      <c r="S842" s="46"/>
      <c r="T842" s="46"/>
      <c r="U842" s="46"/>
      <c r="V842" s="46"/>
      <c r="W842" s="46"/>
      <c r="X842" s="46"/>
      <c r="Y842" s="46"/>
      <c r="Z842" s="46"/>
      <c r="AA842" s="46"/>
    </row>
    <row r="843">
      <c r="A843" s="46"/>
      <c r="B843" s="46"/>
      <c r="C843" s="59" t="str">
        <f t="shared" si="3"/>
        <v/>
      </c>
      <c r="D843" s="46"/>
      <c r="E843" s="57" t="str">
        <f>IFERROR(__xludf.DUMMYFUNCTION("""COMPUTED_VALUE"""),"")</f>
        <v/>
      </c>
      <c r="F843" s="46" t="str">
        <f>IFERROR(__xludf.DUMMYFUNCTION("""COMPUTED_VALUE"""),"")</f>
        <v/>
      </c>
      <c r="G843" s="46"/>
      <c r="H843" s="46"/>
      <c r="I843" s="46"/>
      <c r="J843" s="46"/>
      <c r="K843" s="46"/>
      <c r="L843" s="46"/>
      <c r="M843" s="46"/>
      <c r="N843" s="46"/>
      <c r="O843" s="46"/>
      <c r="P843" s="46"/>
      <c r="Q843" s="46"/>
      <c r="R843" s="46"/>
      <c r="S843" s="46"/>
      <c r="T843" s="46"/>
      <c r="U843" s="46"/>
      <c r="V843" s="46"/>
      <c r="W843" s="46"/>
      <c r="X843" s="46"/>
      <c r="Y843" s="46"/>
      <c r="Z843" s="46"/>
      <c r="AA843" s="46"/>
    </row>
    <row r="844">
      <c r="A844" s="46"/>
      <c r="B844" s="46"/>
      <c r="C844" s="59" t="str">
        <f t="shared" si="3"/>
        <v/>
      </c>
      <c r="D844" s="46"/>
      <c r="E844" s="57" t="str">
        <f>IFERROR(__xludf.DUMMYFUNCTION("""COMPUTED_VALUE"""),"")</f>
        <v/>
      </c>
      <c r="F844" s="46" t="str">
        <f>IFERROR(__xludf.DUMMYFUNCTION("""COMPUTED_VALUE"""),"")</f>
        <v/>
      </c>
      <c r="G844" s="46"/>
      <c r="H844" s="46"/>
      <c r="I844" s="46"/>
      <c r="J844" s="46"/>
      <c r="K844" s="46"/>
      <c r="L844" s="46"/>
      <c r="M844" s="46"/>
      <c r="N844" s="46"/>
      <c r="O844" s="46"/>
      <c r="P844" s="46"/>
      <c r="Q844" s="46"/>
      <c r="R844" s="46"/>
      <c r="S844" s="46"/>
      <c r="T844" s="46"/>
      <c r="U844" s="46"/>
      <c r="V844" s="46"/>
      <c r="W844" s="46"/>
      <c r="X844" s="46"/>
      <c r="Y844" s="46"/>
      <c r="Z844" s="46"/>
      <c r="AA844" s="46"/>
    </row>
    <row r="845">
      <c r="A845" s="46"/>
      <c r="B845" s="46"/>
      <c r="C845" s="59" t="str">
        <f t="shared" si="3"/>
        <v/>
      </c>
      <c r="D845" s="46"/>
      <c r="E845" s="57" t="str">
        <f>IFERROR(__xludf.DUMMYFUNCTION("""COMPUTED_VALUE"""),"")</f>
        <v/>
      </c>
      <c r="F845" s="46" t="str">
        <f>IFERROR(__xludf.DUMMYFUNCTION("""COMPUTED_VALUE"""),"")</f>
        <v/>
      </c>
      <c r="G845" s="46"/>
      <c r="H845" s="46"/>
      <c r="I845" s="46"/>
      <c r="J845" s="46"/>
      <c r="K845" s="46"/>
      <c r="L845" s="46"/>
      <c r="M845" s="46"/>
      <c r="N845" s="46"/>
      <c r="O845" s="46"/>
      <c r="P845" s="46"/>
      <c r="Q845" s="46"/>
      <c r="R845" s="46"/>
      <c r="S845" s="46"/>
      <c r="T845" s="46"/>
      <c r="U845" s="46"/>
      <c r="V845" s="46"/>
      <c r="W845" s="46"/>
      <c r="X845" s="46"/>
      <c r="Y845" s="46"/>
      <c r="Z845" s="46"/>
      <c r="AA845" s="46"/>
    </row>
    <row r="846">
      <c r="A846" s="46"/>
      <c r="B846" s="46"/>
      <c r="C846" s="59" t="str">
        <f t="shared" si="3"/>
        <v/>
      </c>
      <c r="D846" s="46"/>
      <c r="E846" s="57" t="str">
        <f>IFERROR(__xludf.DUMMYFUNCTION("""COMPUTED_VALUE"""),"")</f>
        <v/>
      </c>
      <c r="F846" s="46" t="str">
        <f>IFERROR(__xludf.DUMMYFUNCTION("""COMPUTED_VALUE"""),"")</f>
        <v/>
      </c>
      <c r="G846" s="46"/>
      <c r="H846" s="46"/>
      <c r="I846" s="46"/>
      <c r="J846" s="46"/>
      <c r="K846" s="46"/>
      <c r="L846" s="46"/>
      <c r="M846" s="46"/>
      <c r="N846" s="46"/>
      <c r="O846" s="46"/>
      <c r="P846" s="46"/>
      <c r="Q846" s="46"/>
      <c r="R846" s="46"/>
      <c r="S846" s="46"/>
      <c r="T846" s="46"/>
      <c r="U846" s="46"/>
      <c r="V846" s="46"/>
      <c r="W846" s="46"/>
      <c r="X846" s="46"/>
      <c r="Y846" s="46"/>
      <c r="Z846" s="46"/>
      <c r="AA846" s="46"/>
    </row>
    <row r="847">
      <c r="A847" s="46"/>
      <c r="B847" s="46"/>
      <c r="C847" s="59" t="str">
        <f t="shared" si="3"/>
        <v/>
      </c>
      <c r="D847" s="46"/>
      <c r="E847" s="57" t="str">
        <f>IFERROR(__xludf.DUMMYFUNCTION("""COMPUTED_VALUE"""),"")</f>
        <v/>
      </c>
      <c r="F847" s="46" t="str">
        <f>IFERROR(__xludf.DUMMYFUNCTION("""COMPUTED_VALUE"""),"")</f>
        <v/>
      </c>
      <c r="G847" s="46"/>
      <c r="H847" s="46"/>
      <c r="I847" s="46"/>
      <c r="J847" s="46"/>
      <c r="K847" s="46"/>
      <c r="L847" s="46"/>
      <c r="M847" s="46"/>
      <c r="N847" s="46"/>
      <c r="O847" s="46"/>
      <c r="P847" s="46"/>
      <c r="Q847" s="46"/>
      <c r="R847" s="46"/>
      <c r="S847" s="46"/>
      <c r="T847" s="46"/>
      <c r="U847" s="46"/>
      <c r="V847" s="46"/>
      <c r="W847" s="46"/>
      <c r="X847" s="46"/>
      <c r="Y847" s="46"/>
      <c r="Z847" s="46"/>
      <c r="AA847" s="46"/>
    </row>
    <row r="848">
      <c r="A848" s="46"/>
      <c r="B848" s="46"/>
      <c r="C848" s="59" t="str">
        <f t="shared" si="3"/>
        <v/>
      </c>
      <c r="D848" s="46"/>
      <c r="E848" s="57" t="str">
        <f>IFERROR(__xludf.DUMMYFUNCTION("""COMPUTED_VALUE"""),"")</f>
        <v/>
      </c>
      <c r="F848" s="46" t="str">
        <f>IFERROR(__xludf.DUMMYFUNCTION("""COMPUTED_VALUE"""),"")</f>
        <v/>
      </c>
      <c r="G848" s="46"/>
      <c r="H848" s="46"/>
      <c r="I848" s="46"/>
      <c r="J848" s="46"/>
      <c r="K848" s="46"/>
      <c r="L848" s="46"/>
      <c r="M848" s="46"/>
      <c r="N848" s="46"/>
      <c r="O848" s="46"/>
      <c r="P848" s="46"/>
      <c r="Q848" s="46"/>
      <c r="R848" s="46"/>
      <c r="S848" s="46"/>
      <c r="T848" s="46"/>
      <c r="U848" s="46"/>
      <c r="V848" s="46"/>
      <c r="W848" s="46"/>
      <c r="X848" s="46"/>
      <c r="Y848" s="46"/>
      <c r="Z848" s="46"/>
      <c r="AA848" s="46"/>
    </row>
    <row r="849">
      <c r="A849" s="46"/>
      <c r="B849" s="46"/>
      <c r="C849" s="59" t="str">
        <f t="shared" si="3"/>
        <v/>
      </c>
      <c r="D849" s="46"/>
      <c r="E849" s="57" t="str">
        <f>IFERROR(__xludf.DUMMYFUNCTION("""COMPUTED_VALUE"""),"")</f>
        <v/>
      </c>
      <c r="F849" s="46" t="str">
        <f>IFERROR(__xludf.DUMMYFUNCTION("""COMPUTED_VALUE"""),"")</f>
        <v/>
      </c>
      <c r="G849" s="46"/>
      <c r="H849" s="46"/>
      <c r="I849" s="46"/>
      <c r="J849" s="46"/>
      <c r="K849" s="46"/>
      <c r="L849" s="46"/>
      <c r="M849" s="46"/>
      <c r="N849" s="46"/>
      <c r="O849" s="46"/>
      <c r="P849" s="46"/>
      <c r="Q849" s="46"/>
      <c r="R849" s="46"/>
      <c r="S849" s="46"/>
      <c r="T849" s="46"/>
      <c r="U849" s="46"/>
      <c r="V849" s="46"/>
      <c r="W849" s="46"/>
      <c r="X849" s="46"/>
      <c r="Y849" s="46"/>
      <c r="Z849" s="46"/>
      <c r="AA849" s="46"/>
    </row>
    <row r="850">
      <c r="A850" s="46"/>
      <c r="B850" s="46"/>
      <c r="C850" s="59" t="str">
        <f t="shared" si="3"/>
        <v/>
      </c>
      <c r="D850" s="46"/>
      <c r="E850" s="57" t="str">
        <f>IFERROR(__xludf.DUMMYFUNCTION("""COMPUTED_VALUE"""),"")</f>
        <v/>
      </c>
      <c r="F850" s="46" t="str">
        <f>IFERROR(__xludf.DUMMYFUNCTION("""COMPUTED_VALUE"""),"")</f>
        <v/>
      </c>
      <c r="G850" s="46"/>
      <c r="H850" s="46"/>
      <c r="I850" s="46"/>
      <c r="J850" s="46"/>
      <c r="K850" s="46"/>
      <c r="L850" s="46"/>
      <c r="M850" s="46"/>
      <c r="N850" s="46"/>
      <c r="O850" s="46"/>
      <c r="P850" s="46"/>
      <c r="Q850" s="46"/>
      <c r="R850" s="46"/>
      <c r="S850" s="46"/>
      <c r="T850" s="46"/>
      <c r="U850" s="46"/>
      <c r="V850" s="46"/>
      <c r="W850" s="46"/>
      <c r="X850" s="46"/>
      <c r="Y850" s="46"/>
      <c r="Z850" s="46"/>
      <c r="AA850" s="46"/>
    </row>
    <row r="851">
      <c r="A851" s="46"/>
      <c r="B851" s="46"/>
      <c r="C851" s="59" t="str">
        <f t="shared" si="3"/>
        <v/>
      </c>
      <c r="D851" s="46"/>
      <c r="E851" s="57" t="str">
        <f>IFERROR(__xludf.DUMMYFUNCTION("""COMPUTED_VALUE"""),"")</f>
        <v/>
      </c>
      <c r="F851" s="46" t="str">
        <f>IFERROR(__xludf.DUMMYFUNCTION("""COMPUTED_VALUE"""),"")</f>
        <v/>
      </c>
      <c r="G851" s="46"/>
      <c r="H851" s="46"/>
      <c r="I851" s="46"/>
      <c r="J851" s="46"/>
      <c r="K851" s="46"/>
      <c r="L851" s="46"/>
      <c r="M851" s="46"/>
      <c r="N851" s="46"/>
      <c r="O851" s="46"/>
      <c r="P851" s="46"/>
      <c r="Q851" s="46"/>
      <c r="R851" s="46"/>
      <c r="S851" s="46"/>
      <c r="T851" s="46"/>
      <c r="U851" s="46"/>
      <c r="V851" s="46"/>
      <c r="W851" s="46"/>
      <c r="X851" s="46"/>
      <c r="Y851" s="46"/>
      <c r="Z851" s="46"/>
      <c r="AA851" s="46"/>
    </row>
    <row r="852">
      <c r="A852" s="46"/>
      <c r="B852" s="46"/>
      <c r="C852" s="59" t="str">
        <f t="shared" si="3"/>
        <v/>
      </c>
      <c r="D852" s="46"/>
      <c r="E852" s="57" t="str">
        <f>IFERROR(__xludf.DUMMYFUNCTION("""COMPUTED_VALUE"""),"")</f>
        <v/>
      </c>
      <c r="F852" s="46" t="str">
        <f>IFERROR(__xludf.DUMMYFUNCTION("""COMPUTED_VALUE"""),"")</f>
        <v/>
      </c>
      <c r="G852" s="46"/>
      <c r="H852" s="46"/>
      <c r="I852" s="46"/>
      <c r="J852" s="46"/>
      <c r="K852" s="46"/>
      <c r="L852" s="46"/>
      <c r="M852" s="46"/>
      <c r="N852" s="46"/>
      <c r="O852" s="46"/>
      <c r="P852" s="46"/>
      <c r="Q852" s="46"/>
      <c r="R852" s="46"/>
      <c r="S852" s="46"/>
      <c r="T852" s="46"/>
      <c r="U852" s="46"/>
      <c r="V852" s="46"/>
      <c r="W852" s="46"/>
      <c r="X852" s="46"/>
      <c r="Y852" s="46"/>
      <c r="Z852" s="46"/>
      <c r="AA852" s="46"/>
    </row>
    <row r="853">
      <c r="A853" s="46"/>
      <c r="B853" s="46"/>
      <c r="C853" s="59" t="str">
        <f t="shared" si="3"/>
        <v/>
      </c>
      <c r="D853" s="46"/>
      <c r="E853" s="57" t="str">
        <f>IFERROR(__xludf.DUMMYFUNCTION("""COMPUTED_VALUE"""),"")</f>
        <v/>
      </c>
      <c r="F853" s="46" t="str">
        <f>IFERROR(__xludf.DUMMYFUNCTION("""COMPUTED_VALUE"""),"")</f>
        <v/>
      </c>
      <c r="G853" s="46"/>
      <c r="H853" s="46"/>
      <c r="I853" s="46"/>
      <c r="J853" s="46"/>
      <c r="K853" s="46"/>
      <c r="L853" s="46"/>
      <c r="M853" s="46"/>
      <c r="N853" s="46"/>
      <c r="O853" s="46"/>
      <c r="P853" s="46"/>
      <c r="Q853" s="46"/>
      <c r="R853" s="46"/>
      <c r="S853" s="46"/>
      <c r="T853" s="46"/>
      <c r="U853" s="46"/>
      <c r="V853" s="46"/>
      <c r="W853" s="46"/>
      <c r="X853" s="46"/>
      <c r="Y853" s="46"/>
      <c r="Z853" s="46"/>
      <c r="AA853" s="46"/>
    </row>
    <row r="854">
      <c r="A854" s="46"/>
      <c r="B854" s="46"/>
      <c r="C854" s="59" t="str">
        <f t="shared" si="3"/>
        <v/>
      </c>
      <c r="D854" s="46"/>
      <c r="E854" s="57" t="str">
        <f>IFERROR(__xludf.DUMMYFUNCTION("""COMPUTED_VALUE"""),"")</f>
        <v/>
      </c>
      <c r="F854" s="46" t="str">
        <f>IFERROR(__xludf.DUMMYFUNCTION("""COMPUTED_VALUE"""),"")</f>
        <v/>
      </c>
      <c r="G854" s="46"/>
      <c r="H854" s="46"/>
      <c r="I854" s="46"/>
      <c r="J854" s="46"/>
      <c r="K854" s="46"/>
      <c r="L854" s="46"/>
      <c r="M854" s="46"/>
      <c r="N854" s="46"/>
      <c r="O854" s="46"/>
      <c r="P854" s="46"/>
      <c r="Q854" s="46"/>
      <c r="R854" s="46"/>
      <c r="S854" s="46"/>
      <c r="T854" s="46"/>
      <c r="U854" s="46"/>
      <c r="V854" s="46"/>
      <c r="W854" s="46"/>
      <c r="X854" s="46"/>
      <c r="Y854" s="46"/>
      <c r="Z854" s="46"/>
      <c r="AA854" s="46"/>
    </row>
    <row r="855">
      <c r="A855" s="46"/>
      <c r="B855" s="46"/>
      <c r="C855" s="59" t="str">
        <f t="shared" si="3"/>
        <v/>
      </c>
      <c r="D855" s="46"/>
      <c r="E855" s="57" t="str">
        <f>IFERROR(__xludf.DUMMYFUNCTION("""COMPUTED_VALUE"""),"")</f>
        <v/>
      </c>
      <c r="F855" s="46" t="str">
        <f>IFERROR(__xludf.DUMMYFUNCTION("""COMPUTED_VALUE"""),"")</f>
        <v/>
      </c>
      <c r="G855" s="46"/>
      <c r="H855" s="46"/>
      <c r="I855" s="46"/>
      <c r="J855" s="46"/>
      <c r="K855" s="46"/>
      <c r="L855" s="46"/>
      <c r="M855" s="46"/>
      <c r="N855" s="46"/>
      <c r="O855" s="46"/>
      <c r="P855" s="46"/>
      <c r="Q855" s="46"/>
      <c r="R855" s="46"/>
      <c r="S855" s="46"/>
      <c r="T855" s="46"/>
      <c r="U855" s="46"/>
      <c r="V855" s="46"/>
      <c r="W855" s="46"/>
      <c r="X855" s="46"/>
      <c r="Y855" s="46"/>
      <c r="Z855" s="46"/>
      <c r="AA855" s="46"/>
    </row>
    <row r="856">
      <c r="A856" s="46"/>
      <c r="B856" s="46"/>
      <c r="C856" s="59" t="str">
        <f t="shared" si="3"/>
        <v/>
      </c>
      <c r="D856" s="46"/>
      <c r="E856" s="57" t="str">
        <f>IFERROR(__xludf.DUMMYFUNCTION("""COMPUTED_VALUE"""),"")</f>
        <v/>
      </c>
      <c r="F856" s="46" t="str">
        <f>IFERROR(__xludf.DUMMYFUNCTION("""COMPUTED_VALUE"""),"")</f>
        <v/>
      </c>
      <c r="G856" s="46"/>
      <c r="H856" s="46"/>
      <c r="I856" s="46"/>
      <c r="J856" s="46"/>
      <c r="K856" s="46"/>
      <c r="L856" s="46"/>
      <c r="M856" s="46"/>
      <c r="N856" s="46"/>
      <c r="O856" s="46"/>
      <c r="P856" s="46"/>
      <c r="Q856" s="46"/>
      <c r="R856" s="46"/>
      <c r="S856" s="46"/>
      <c r="T856" s="46"/>
      <c r="U856" s="46"/>
      <c r="V856" s="46"/>
      <c r="W856" s="46"/>
      <c r="X856" s="46"/>
      <c r="Y856" s="46"/>
      <c r="Z856" s="46"/>
      <c r="AA856" s="46"/>
    </row>
    <row r="857">
      <c r="A857" s="46"/>
      <c r="B857" s="46"/>
      <c r="C857" s="59" t="str">
        <f t="shared" si="3"/>
        <v/>
      </c>
      <c r="D857" s="46"/>
      <c r="E857" s="57" t="str">
        <f>IFERROR(__xludf.DUMMYFUNCTION("""COMPUTED_VALUE"""),"")</f>
        <v/>
      </c>
      <c r="F857" s="46" t="str">
        <f>IFERROR(__xludf.DUMMYFUNCTION("""COMPUTED_VALUE"""),"")</f>
        <v/>
      </c>
      <c r="G857" s="46"/>
      <c r="H857" s="46"/>
      <c r="I857" s="46"/>
      <c r="J857" s="46"/>
      <c r="K857" s="46"/>
      <c r="L857" s="46"/>
      <c r="M857" s="46"/>
      <c r="N857" s="46"/>
      <c r="O857" s="46"/>
      <c r="P857" s="46"/>
      <c r="Q857" s="46"/>
      <c r="R857" s="46"/>
      <c r="S857" s="46"/>
      <c r="T857" s="46"/>
      <c r="U857" s="46"/>
      <c r="V857" s="46"/>
      <c r="W857" s="46"/>
      <c r="X857" s="46"/>
      <c r="Y857" s="46"/>
      <c r="Z857" s="46"/>
      <c r="AA857" s="46"/>
    </row>
    <row r="858">
      <c r="A858" s="46"/>
      <c r="B858" s="46"/>
      <c r="C858" s="59" t="str">
        <f t="shared" si="3"/>
        <v/>
      </c>
      <c r="D858" s="46"/>
      <c r="E858" s="57" t="str">
        <f>IFERROR(__xludf.DUMMYFUNCTION("""COMPUTED_VALUE"""),"")</f>
        <v/>
      </c>
      <c r="F858" s="46" t="str">
        <f>IFERROR(__xludf.DUMMYFUNCTION("""COMPUTED_VALUE"""),"")</f>
        <v/>
      </c>
      <c r="G858" s="46"/>
      <c r="H858" s="46"/>
      <c r="I858" s="46"/>
      <c r="J858" s="46"/>
      <c r="K858" s="46"/>
      <c r="L858" s="46"/>
      <c r="M858" s="46"/>
      <c r="N858" s="46"/>
      <c r="O858" s="46"/>
      <c r="P858" s="46"/>
      <c r="Q858" s="46"/>
      <c r="R858" s="46"/>
      <c r="S858" s="46"/>
      <c r="T858" s="46"/>
      <c r="U858" s="46"/>
      <c r="V858" s="46"/>
      <c r="W858" s="46"/>
      <c r="X858" s="46"/>
      <c r="Y858" s="46"/>
      <c r="Z858" s="46"/>
      <c r="AA858" s="46"/>
    </row>
    <row r="859">
      <c r="A859" s="46"/>
      <c r="B859" s="46"/>
      <c r="C859" s="59" t="str">
        <f t="shared" si="3"/>
        <v/>
      </c>
      <c r="D859" s="46"/>
      <c r="E859" s="57" t="str">
        <f>IFERROR(__xludf.DUMMYFUNCTION("""COMPUTED_VALUE"""),"")</f>
        <v/>
      </c>
      <c r="F859" s="46" t="str">
        <f>IFERROR(__xludf.DUMMYFUNCTION("""COMPUTED_VALUE"""),"")</f>
        <v/>
      </c>
      <c r="G859" s="46"/>
      <c r="H859" s="46"/>
      <c r="I859" s="46"/>
      <c r="J859" s="46"/>
      <c r="K859" s="46"/>
      <c r="L859" s="46"/>
      <c r="M859" s="46"/>
      <c r="N859" s="46"/>
      <c r="O859" s="46"/>
      <c r="P859" s="46"/>
      <c r="Q859" s="46"/>
      <c r="R859" s="46"/>
      <c r="S859" s="46"/>
      <c r="T859" s="46"/>
      <c r="U859" s="46"/>
      <c r="V859" s="46"/>
      <c r="W859" s="46"/>
      <c r="X859" s="46"/>
      <c r="Y859" s="46"/>
      <c r="Z859" s="46"/>
      <c r="AA859" s="46"/>
    </row>
    <row r="860">
      <c r="A860" s="46"/>
      <c r="B860" s="46"/>
      <c r="C860" s="59" t="str">
        <f t="shared" si="3"/>
        <v/>
      </c>
      <c r="D860" s="46"/>
      <c r="E860" s="57" t="str">
        <f>IFERROR(__xludf.DUMMYFUNCTION("""COMPUTED_VALUE"""),"")</f>
        <v/>
      </c>
      <c r="F860" s="46" t="str">
        <f>IFERROR(__xludf.DUMMYFUNCTION("""COMPUTED_VALUE"""),"")</f>
        <v/>
      </c>
      <c r="G860" s="46"/>
      <c r="H860" s="46"/>
      <c r="I860" s="46"/>
      <c r="J860" s="46"/>
      <c r="K860" s="46"/>
      <c r="L860" s="46"/>
      <c r="M860" s="46"/>
      <c r="N860" s="46"/>
      <c r="O860" s="46"/>
      <c r="P860" s="46"/>
      <c r="Q860" s="46"/>
      <c r="R860" s="46"/>
      <c r="S860" s="46"/>
      <c r="T860" s="46"/>
      <c r="U860" s="46"/>
      <c r="V860" s="46"/>
      <c r="W860" s="46"/>
      <c r="X860" s="46"/>
      <c r="Y860" s="46"/>
      <c r="Z860" s="46"/>
      <c r="AA860" s="46"/>
    </row>
    <row r="861">
      <c r="A861" s="46"/>
      <c r="B861" s="46"/>
      <c r="C861" s="59" t="str">
        <f t="shared" si="3"/>
        <v/>
      </c>
      <c r="D861" s="46"/>
      <c r="E861" s="57" t="str">
        <f>IFERROR(__xludf.DUMMYFUNCTION("""COMPUTED_VALUE"""),"")</f>
        <v/>
      </c>
      <c r="F861" s="46" t="str">
        <f>IFERROR(__xludf.DUMMYFUNCTION("""COMPUTED_VALUE"""),"")</f>
        <v/>
      </c>
      <c r="G861" s="46"/>
      <c r="H861" s="46"/>
      <c r="I861" s="46"/>
      <c r="J861" s="46"/>
      <c r="K861" s="46"/>
      <c r="L861" s="46"/>
      <c r="M861" s="46"/>
      <c r="N861" s="46"/>
      <c r="O861" s="46"/>
      <c r="P861" s="46"/>
      <c r="Q861" s="46"/>
      <c r="R861" s="46"/>
      <c r="S861" s="46"/>
      <c r="T861" s="46"/>
      <c r="U861" s="46"/>
      <c r="V861" s="46"/>
      <c r="W861" s="46"/>
      <c r="X861" s="46"/>
      <c r="Y861" s="46"/>
      <c r="Z861" s="46"/>
      <c r="AA861" s="46"/>
    </row>
    <row r="862">
      <c r="A862" s="46"/>
      <c r="B862" s="46"/>
      <c r="C862" s="59" t="str">
        <f t="shared" si="3"/>
        <v/>
      </c>
      <c r="D862" s="46"/>
      <c r="E862" s="57" t="str">
        <f>IFERROR(__xludf.DUMMYFUNCTION("""COMPUTED_VALUE"""),"")</f>
        <v/>
      </c>
      <c r="F862" s="46" t="str">
        <f>IFERROR(__xludf.DUMMYFUNCTION("""COMPUTED_VALUE"""),"")</f>
        <v/>
      </c>
      <c r="G862" s="46"/>
      <c r="H862" s="46"/>
      <c r="I862" s="46"/>
      <c r="J862" s="46"/>
      <c r="K862" s="46"/>
      <c r="L862" s="46"/>
      <c r="M862" s="46"/>
      <c r="N862" s="46"/>
      <c r="O862" s="46"/>
      <c r="P862" s="46"/>
      <c r="Q862" s="46"/>
      <c r="R862" s="46"/>
      <c r="S862" s="46"/>
      <c r="T862" s="46"/>
      <c r="U862" s="46"/>
      <c r="V862" s="46"/>
      <c r="W862" s="46"/>
      <c r="X862" s="46"/>
      <c r="Y862" s="46"/>
      <c r="Z862" s="46"/>
      <c r="AA862" s="46"/>
    </row>
    <row r="863">
      <c r="A863" s="46"/>
      <c r="B863" s="46"/>
      <c r="C863" s="59" t="str">
        <f t="shared" si="3"/>
        <v/>
      </c>
      <c r="D863" s="46"/>
      <c r="E863" s="57" t="str">
        <f>IFERROR(__xludf.DUMMYFUNCTION("""COMPUTED_VALUE"""),"")</f>
        <v/>
      </c>
      <c r="F863" s="46" t="str">
        <f>IFERROR(__xludf.DUMMYFUNCTION("""COMPUTED_VALUE"""),"")</f>
        <v/>
      </c>
      <c r="G863" s="46"/>
      <c r="H863" s="46"/>
      <c r="I863" s="46"/>
      <c r="J863" s="46"/>
      <c r="K863" s="46"/>
      <c r="L863" s="46"/>
      <c r="M863" s="46"/>
      <c r="N863" s="46"/>
      <c r="O863" s="46"/>
      <c r="P863" s="46"/>
      <c r="Q863" s="46"/>
      <c r="R863" s="46"/>
      <c r="S863" s="46"/>
      <c r="T863" s="46"/>
      <c r="U863" s="46"/>
      <c r="V863" s="46"/>
      <c r="W863" s="46"/>
      <c r="X863" s="46"/>
      <c r="Y863" s="46"/>
      <c r="Z863" s="46"/>
      <c r="AA863" s="46"/>
    </row>
    <row r="864">
      <c r="A864" s="46"/>
      <c r="B864" s="46"/>
      <c r="C864" s="59" t="str">
        <f t="shared" si="3"/>
        <v/>
      </c>
      <c r="D864" s="46"/>
      <c r="E864" s="57" t="str">
        <f>IFERROR(__xludf.DUMMYFUNCTION("""COMPUTED_VALUE"""),"")</f>
        <v/>
      </c>
      <c r="F864" s="46" t="str">
        <f>IFERROR(__xludf.DUMMYFUNCTION("""COMPUTED_VALUE"""),"")</f>
        <v/>
      </c>
      <c r="G864" s="46"/>
      <c r="H864" s="46"/>
      <c r="I864" s="46"/>
      <c r="J864" s="46"/>
      <c r="K864" s="46"/>
      <c r="L864" s="46"/>
      <c r="M864" s="46"/>
      <c r="N864" s="46"/>
      <c r="O864" s="46"/>
      <c r="P864" s="46"/>
      <c r="Q864" s="46"/>
      <c r="R864" s="46"/>
      <c r="S864" s="46"/>
      <c r="T864" s="46"/>
      <c r="U864" s="46"/>
      <c r="V864" s="46"/>
      <c r="W864" s="46"/>
      <c r="X864" s="46"/>
      <c r="Y864" s="46"/>
      <c r="Z864" s="46"/>
      <c r="AA864" s="46"/>
    </row>
    <row r="865">
      <c r="A865" s="46"/>
      <c r="B865" s="46"/>
      <c r="C865" s="59" t="str">
        <f t="shared" si="3"/>
        <v/>
      </c>
      <c r="D865" s="46"/>
      <c r="E865" s="57" t="str">
        <f>IFERROR(__xludf.DUMMYFUNCTION("""COMPUTED_VALUE"""),"")</f>
        <v/>
      </c>
      <c r="F865" s="46" t="str">
        <f>IFERROR(__xludf.DUMMYFUNCTION("""COMPUTED_VALUE"""),"")</f>
        <v/>
      </c>
      <c r="G865" s="46"/>
      <c r="H865" s="46"/>
      <c r="I865" s="46"/>
      <c r="J865" s="46"/>
      <c r="K865" s="46"/>
      <c r="L865" s="46"/>
      <c r="M865" s="46"/>
      <c r="N865" s="46"/>
      <c r="O865" s="46"/>
      <c r="P865" s="46"/>
      <c r="Q865" s="46"/>
      <c r="R865" s="46"/>
      <c r="S865" s="46"/>
      <c r="T865" s="46"/>
      <c r="U865" s="46"/>
      <c r="V865" s="46"/>
      <c r="W865" s="46"/>
      <c r="X865" s="46"/>
      <c r="Y865" s="46"/>
      <c r="Z865" s="46"/>
      <c r="AA865" s="46"/>
    </row>
    <row r="866">
      <c r="A866" s="46"/>
      <c r="B866" s="46"/>
      <c r="C866" s="59" t="str">
        <f t="shared" si="3"/>
        <v/>
      </c>
      <c r="D866" s="46"/>
      <c r="E866" s="57" t="str">
        <f>IFERROR(__xludf.DUMMYFUNCTION("""COMPUTED_VALUE"""),"")</f>
        <v/>
      </c>
      <c r="F866" s="46" t="str">
        <f>IFERROR(__xludf.DUMMYFUNCTION("""COMPUTED_VALUE"""),"")</f>
        <v/>
      </c>
      <c r="G866" s="46"/>
      <c r="H866" s="46"/>
      <c r="I866" s="46"/>
      <c r="J866" s="46"/>
      <c r="K866" s="46"/>
      <c r="L866" s="46"/>
      <c r="M866" s="46"/>
      <c r="N866" s="46"/>
      <c r="O866" s="46"/>
      <c r="P866" s="46"/>
      <c r="Q866" s="46"/>
      <c r="R866" s="46"/>
      <c r="S866" s="46"/>
      <c r="T866" s="46"/>
      <c r="U866" s="46"/>
      <c r="V866" s="46"/>
      <c r="W866" s="46"/>
      <c r="X866" s="46"/>
      <c r="Y866" s="46"/>
      <c r="Z866" s="46"/>
      <c r="AA866" s="46"/>
    </row>
    <row r="867">
      <c r="A867" s="46"/>
      <c r="B867" s="46"/>
      <c r="C867" s="59" t="str">
        <f t="shared" si="3"/>
        <v/>
      </c>
      <c r="D867" s="46"/>
      <c r="E867" s="57" t="str">
        <f>IFERROR(__xludf.DUMMYFUNCTION("""COMPUTED_VALUE"""),"")</f>
        <v/>
      </c>
      <c r="F867" s="46" t="str">
        <f>IFERROR(__xludf.DUMMYFUNCTION("""COMPUTED_VALUE"""),"")</f>
        <v/>
      </c>
      <c r="G867" s="46"/>
      <c r="H867" s="46"/>
      <c r="I867" s="46"/>
      <c r="J867" s="46"/>
      <c r="K867" s="46"/>
      <c r="L867" s="46"/>
      <c r="M867" s="46"/>
      <c r="N867" s="46"/>
      <c r="O867" s="46"/>
      <c r="P867" s="46"/>
      <c r="Q867" s="46"/>
      <c r="R867" s="46"/>
      <c r="S867" s="46"/>
      <c r="T867" s="46"/>
      <c r="U867" s="46"/>
      <c r="V867" s="46"/>
      <c r="W867" s="46"/>
      <c r="X867" s="46"/>
      <c r="Y867" s="46"/>
      <c r="Z867" s="46"/>
      <c r="AA867" s="46"/>
    </row>
    <row r="868">
      <c r="A868" s="46"/>
      <c r="B868" s="46"/>
      <c r="C868" s="59" t="str">
        <f t="shared" si="3"/>
        <v/>
      </c>
      <c r="D868" s="46"/>
      <c r="E868" s="57" t="str">
        <f>IFERROR(__xludf.DUMMYFUNCTION("""COMPUTED_VALUE"""),"")</f>
        <v/>
      </c>
      <c r="F868" s="46" t="str">
        <f>IFERROR(__xludf.DUMMYFUNCTION("""COMPUTED_VALUE"""),"")</f>
        <v/>
      </c>
      <c r="G868" s="46"/>
      <c r="H868" s="46"/>
      <c r="I868" s="46"/>
      <c r="J868" s="46"/>
      <c r="K868" s="46"/>
      <c r="L868" s="46"/>
      <c r="M868" s="46"/>
      <c r="N868" s="46"/>
      <c r="O868" s="46"/>
      <c r="P868" s="46"/>
      <c r="Q868" s="46"/>
      <c r="R868" s="46"/>
      <c r="S868" s="46"/>
      <c r="T868" s="46"/>
      <c r="U868" s="46"/>
      <c r="V868" s="46"/>
      <c r="W868" s="46"/>
      <c r="X868" s="46"/>
      <c r="Y868" s="46"/>
      <c r="Z868" s="46"/>
      <c r="AA868" s="46"/>
    </row>
    <row r="869">
      <c r="A869" s="46"/>
      <c r="B869" s="46"/>
      <c r="C869" s="59" t="str">
        <f t="shared" si="3"/>
        <v/>
      </c>
      <c r="D869" s="46"/>
      <c r="E869" s="57" t="str">
        <f>IFERROR(__xludf.DUMMYFUNCTION("""COMPUTED_VALUE"""),"")</f>
        <v/>
      </c>
      <c r="F869" s="46" t="str">
        <f>IFERROR(__xludf.DUMMYFUNCTION("""COMPUTED_VALUE"""),"")</f>
        <v/>
      </c>
      <c r="G869" s="46"/>
      <c r="H869" s="46"/>
      <c r="I869" s="46"/>
      <c r="J869" s="46"/>
      <c r="K869" s="46"/>
      <c r="L869" s="46"/>
      <c r="M869" s="46"/>
      <c r="N869" s="46"/>
      <c r="O869" s="46"/>
      <c r="P869" s="46"/>
      <c r="Q869" s="46"/>
      <c r="R869" s="46"/>
      <c r="S869" s="46"/>
      <c r="T869" s="46"/>
      <c r="U869" s="46"/>
      <c r="V869" s="46"/>
      <c r="W869" s="46"/>
      <c r="X869" s="46"/>
      <c r="Y869" s="46"/>
      <c r="Z869" s="46"/>
      <c r="AA869" s="46"/>
    </row>
    <row r="870">
      <c r="A870" s="46"/>
      <c r="B870" s="46"/>
      <c r="C870" s="59" t="str">
        <f t="shared" si="3"/>
        <v/>
      </c>
      <c r="D870" s="46"/>
      <c r="E870" s="57" t="str">
        <f>IFERROR(__xludf.DUMMYFUNCTION("""COMPUTED_VALUE"""),"")</f>
        <v/>
      </c>
      <c r="F870" s="46" t="str">
        <f>IFERROR(__xludf.DUMMYFUNCTION("""COMPUTED_VALUE"""),"")</f>
        <v/>
      </c>
      <c r="G870" s="46"/>
      <c r="H870" s="46"/>
      <c r="I870" s="46"/>
      <c r="J870" s="46"/>
      <c r="K870" s="46"/>
      <c r="L870" s="46"/>
      <c r="M870" s="46"/>
      <c r="N870" s="46"/>
      <c r="O870" s="46"/>
      <c r="P870" s="46"/>
      <c r="Q870" s="46"/>
      <c r="R870" s="46"/>
      <c r="S870" s="46"/>
      <c r="T870" s="46"/>
      <c r="U870" s="46"/>
      <c r="V870" s="46"/>
      <c r="W870" s="46"/>
      <c r="X870" s="46"/>
      <c r="Y870" s="46"/>
      <c r="Z870" s="46"/>
      <c r="AA870" s="46"/>
    </row>
    <row r="871">
      <c r="A871" s="46"/>
      <c r="B871" s="46"/>
      <c r="C871" s="59" t="str">
        <f t="shared" si="3"/>
        <v/>
      </c>
      <c r="D871" s="46"/>
      <c r="E871" s="57" t="str">
        <f>IFERROR(__xludf.DUMMYFUNCTION("""COMPUTED_VALUE"""),"")</f>
        <v/>
      </c>
      <c r="F871" s="46" t="str">
        <f>IFERROR(__xludf.DUMMYFUNCTION("""COMPUTED_VALUE"""),"")</f>
        <v/>
      </c>
      <c r="G871" s="46"/>
      <c r="H871" s="46"/>
      <c r="I871" s="46"/>
      <c r="J871" s="46"/>
      <c r="K871" s="46"/>
      <c r="L871" s="46"/>
      <c r="M871" s="46"/>
      <c r="N871" s="46"/>
      <c r="O871" s="46"/>
      <c r="P871" s="46"/>
      <c r="Q871" s="46"/>
      <c r="R871" s="46"/>
      <c r="S871" s="46"/>
      <c r="T871" s="46"/>
      <c r="U871" s="46"/>
      <c r="V871" s="46"/>
      <c r="W871" s="46"/>
      <c r="X871" s="46"/>
      <c r="Y871" s="46"/>
      <c r="Z871" s="46"/>
      <c r="AA871" s="46"/>
    </row>
    <row r="872">
      <c r="A872" s="46"/>
      <c r="B872" s="46"/>
      <c r="C872" s="59" t="str">
        <f t="shared" si="3"/>
        <v/>
      </c>
      <c r="D872" s="46"/>
      <c r="E872" s="57" t="str">
        <f>IFERROR(__xludf.DUMMYFUNCTION("""COMPUTED_VALUE"""),"")</f>
        <v/>
      </c>
      <c r="F872" s="46" t="str">
        <f>IFERROR(__xludf.DUMMYFUNCTION("""COMPUTED_VALUE"""),"")</f>
        <v/>
      </c>
      <c r="G872" s="46"/>
      <c r="H872" s="46"/>
      <c r="I872" s="46"/>
      <c r="J872" s="46"/>
      <c r="K872" s="46"/>
      <c r="L872" s="46"/>
      <c r="M872" s="46"/>
      <c r="N872" s="46"/>
      <c r="O872" s="46"/>
      <c r="P872" s="46"/>
      <c r="Q872" s="46"/>
      <c r="R872" s="46"/>
      <c r="S872" s="46"/>
      <c r="T872" s="46"/>
      <c r="U872" s="46"/>
      <c r="V872" s="46"/>
      <c r="W872" s="46"/>
      <c r="X872" s="46"/>
      <c r="Y872" s="46"/>
      <c r="Z872" s="46"/>
      <c r="AA872" s="46"/>
    </row>
    <row r="873">
      <c r="A873" s="46"/>
      <c r="B873" s="46"/>
      <c r="C873" s="59" t="str">
        <f t="shared" si="3"/>
        <v/>
      </c>
      <c r="D873" s="46"/>
      <c r="E873" s="57" t="str">
        <f>IFERROR(__xludf.DUMMYFUNCTION("""COMPUTED_VALUE"""),"")</f>
        <v/>
      </c>
      <c r="F873" s="46" t="str">
        <f>IFERROR(__xludf.DUMMYFUNCTION("""COMPUTED_VALUE"""),"")</f>
        <v/>
      </c>
      <c r="G873" s="46"/>
      <c r="H873" s="46"/>
      <c r="I873" s="46"/>
      <c r="J873" s="46"/>
      <c r="K873" s="46"/>
      <c r="L873" s="46"/>
      <c r="M873" s="46"/>
      <c r="N873" s="46"/>
      <c r="O873" s="46"/>
      <c r="P873" s="46"/>
      <c r="Q873" s="46"/>
      <c r="R873" s="46"/>
      <c r="S873" s="46"/>
      <c r="T873" s="46"/>
      <c r="U873" s="46"/>
      <c r="V873" s="46"/>
      <c r="W873" s="46"/>
      <c r="X873" s="46"/>
      <c r="Y873" s="46"/>
      <c r="Z873" s="46"/>
      <c r="AA873" s="46"/>
    </row>
    <row r="874">
      <c r="A874" s="46"/>
      <c r="B874" s="46"/>
      <c r="C874" s="59" t="str">
        <f t="shared" si="3"/>
        <v/>
      </c>
      <c r="D874" s="46"/>
      <c r="E874" s="57" t="str">
        <f>IFERROR(__xludf.DUMMYFUNCTION("""COMPUTED_VALUE"""),"")</f>
        <v/>
      </c>
      <c r="F874" s="46" t="str">
        <f>IFERROR(__xludf.DUMMYFUNCTION("""COMPUTED_VALUE"""),"")</f>
        <v/>
      </c>
      <c r="G874" s="46"/>
      <c r="H874" s="46"/>
      <c r="I874" s="46"/>
      <c r="J874" s="46"/>
      <c r="K874" s="46"/>
      <c r="L874" s="46"/>
      <c r="M874" s="46"/>
      <c r="N874" s="46"/>
      <c r="O874" s="46"/>
      <c r="P874" s="46"/>
      <c r="Q874" s="46"/>
      <c r="R874" s="46"/>
      <c r="S874" s="46"/>
      <c r="T874" s="46"/>
      <c r="U874" s="46"/>
      <c r="V874" s="46"/>
      <c r="W874" s="46"/>
      <c r="X874" s="46"/>
      <c r="Y874" s="46"/>
      <c r="Z874" s="46"/>
      <c r="AA874" s="46"/>
    </row>
    <row r="875">
      <c r="A875" s="46"/>
      <c r="B875" s="46"/>
      <c r="C875" s="59" t="str">
        <f t="shared" si="3"/>
        <v/>
      </c>
      <c r="D875" s="46"/>
      <c r="E875" s="57" t="str">
        <f>IFERROR(__xludf.DUMMYFUNCTION("""COMPUTED_VALUE"""),"")</f>
        <v/>
      </c>
      <c r="F875" s="46" t="str">
        <f>IFERROR(__xludf.DUMMYFUNCTION("""COMPUTED_VALUE"""),"")</f>
        <v/>
      </c>
      <c r="G875" s="46"/>
      <c r="H875" s="46"/>
      <c r="I875" s="46"/>
      <c r="J875" s="46"/>
      <c r="K875" s="46"/>
      <c r="L875" s="46"/>
      <c r="M875" s="46"/>
      <c r="N875" s="46"/>
      <c r="O875" s="46"/>
      <c r="P875" s="46"/>
      <c r="Q875" s="46"/>
      <c r="R875" s="46"/>
      <c r="S875" s="46"/>
      <c r="T875" s="46"/>
      <c r="U875" s="46"/>
      <c r="V875" s="46"/>
      <c r="W875" s="46"/>
      <c r="X875" s="46"/>
      <c r="Y875" s="46"/>
      <c r="Z875" s="46"/>
      <c r="AA875" s="46"/>
    </row>
    <row r="876">
      <c r="A876" s="46"/>
      <c r="B876" s="46"/>
      <c r="C876" s="59" t="str">
        <f t="shared" si="3"/>
        <v/>
      </c>
      <c r="D876" s="46"/>
      <c r="E876" s="57" t="str">
        <f>IFERROR(__xludf.DUMMYFUNCTION("""COMPUTED_VALUE"""),"")</f>
        <v/>
      </c>
      <c r="F876" s="46" t="str">
        <f>IFERROR(__xludf.DUMMYFUNCTION("""COMPUTED_VALUE"""),"")</f>
        <v/>
      </c>
      <c r="G876" s="46"/>
      <c r="H876" s="46"/>
      <c r="I876" s="46"/>
      <c r="J876" s="46"/>
      <c r="K876" s="46"/>
      <c r="L876" s="46"/>
      <c r="M876" s="46"/>
      <c r="N876" s="46"/>
      <c r="O876" s="46"/>
      <c r="P876" s="46"/>
      <c r="Q876" s="46"/>
      <c r="R876" s="46"/>
      <c r="S876" s="46"/>
      <c r="T876" s="46"/>
      <c r="U876" s="46"/>
      <c r="V876" s="46"/>
      <c r="W876" s="46"/>
      <c r="X876" s="46"/>
      <c r="Y876" s="46"/>
      <c r="Z876" s="46"/>
      <c r="AA876" s="46"/>
    </row>
    <row r="877">
      <c r="A877" s="46"/>
      <c r="B877" s="46"/>
      <c r="C877" s="59" t="str">
        <f t="shared" si="3"/>
        <v/>
      </c>
      <c r="D877" s="46"/>
      <c r="E877" s="57" t="str">
        <f>IFERROR(__xludf.DUMMYFUNCTION("""COMPUTED_VALUE"""),"")</f>
        <v/>
      </c>
      <c r="F877" s="46" t="str">
        <f>IFERROR(__xludf.DUMMYFUNCTION("""COMPUTED_VALUE"""),"")</f>
        <v/>
      </c>
      <c r="G877" s="46"/>
      <c r="H877" s="46"/>
      <c r="I877" s="46"/>
      <c r="J877" s="46"/>
      <c r="K877" s="46"/>
      <c r="L877" s="46"/>
      <c r="M877" s="46"/>
      <c r="N877" s="46"/>
      <c r="O877" s="46"/>
      <c r="P877" s="46"/>
      <c r="Q877" s="46"/>
      <c r="R877" s="46"/>
      <c r="S877" s="46"/>
      <c r="T877" s="46"/>
      <c r="U877" s="46"/>
      <c r="V877" s="46"/>
      <c r="W877" s="46"/>
      <c r="X877" s="46"/>
      <c r="Y877" s="46"/>
      <c r="Z877" s="46"/>
      <c r="AA877" s="46"/>
    </row>
    <row r="878">
      <c r="A878" s="46"/>
      <c r="B878" s="46"/>
      <c r="C878" s="59" t="str">
        <f t="shared" si="3"/>
        <v/>
      </c>
      <c r="D878" s="46"/>
      <c r="E878" s="57" t="str">
        <f>IFERROR(__xludf.DUMMYFUNCTION("""COMPUTED_VALUE"""),"")</f>
        <v/>
      </c>
      <c r="F878" s="46" t="str">
        <f>IFERROR(__xludf.DUMMYFUNCTION("""COMPUTED_VALUE"""),"")</f>
        <v/>
      </c>
      <c r="G878" s="46"/>
      <c r="H878" s="46"/>
      <c r="I878" s="46"/>
      <c r="J878" s="46"/>
      <c r="K878" s="46"/>
      <c r="L878" s="46"/>
      <c r="M878" s="46"/>
      <c r="N878" s="46"/>
      <c r="O878" s="46"/>
      <c r="P878" s="46"/>
      <c r="Q878" s="46"/>
      <c r="R878" s="46"/>
      <c r="S878" s="46"/>
      <c r="T878" s="46"/>
      <c r="U878" s="46"/>
      <c r="V878" s="46"/>
      <c r="W878" s="46"/>
      <c r="X878" s="46"/>
      <c r="Y878" s="46"/>
      <c r="Z878" s="46"/>
      <c r="AA878" s="46"/>
    </row>
    <row r="879">
      <c r="A879" s="46"/>
      <c r="B879" s="46"/>
      <c r="C879" s="59" t="str">
        <f t="shared" si="3"/>
        <v/>
      </c>
      <c r="D879" s="46"/>
      <c r="E879" s="57" t="str">
        <f>IFERROR(__xludf.DUMMYFUNCTION("""COMPUTED_VALUE"""),"")</f>
        <v/>
      </c>
      <c r="F879" s="46" t="str">
        <f>IFERROR(__xludf.DUMMYFUNCTION("""COMPUTED_VALUE"""),"")</f>
        <v/>
      </c>
      <c r="G879" s="46"/>
      <c r="H879" s="46"/>
      <c r="I879" s="46"/>
      <c r="J879" s="46"/>
      <c r="K879" s="46"/>
      <c r="L879" s="46"/>
      <c r="M879" s="46"/>
      <c r="N879" s="46"/>
      <c r="O879" s="46"/>
      <c r="P879" s="46"/>
      <c r="Q879" s="46"/>
      <c r="R879" s="46"/>
      <c r="S879" s="46"/>
      <c r="T879" s="46"/>
      <c r="U879" s="46"/>
      <c r="V879" s="46"/>
      <c r="W879" s="46"/>
      <c r="X879" s="46"/>
      <c r="Y879" s="46"/>
      <c r="Z879" s="46"/>
      <c r="AA879" s="46"/>
    </row>
    <row r="880">
      <c r="A880" s="46"/>
      <c r="B880" s="46"/>
      <c r="C880" s="59" t="str">
        <f t="shared" si="3"/>
        <v/>
      </c>
      <c r="D880" s="46"/>
      <c r="E880" s="57" t="str">
        <f>IFERROR(__xludf.DUMMYFUNCTION("""COMPUTED_VALUE"""),"")</f>
        <v/>
      </c>
      <c r="F880" s="46" t="str">
        <f>IFERROR(__xludf.DUMMYFUNCTION("""COMPUTED_VALUE"""),"")</f>
        <v/>
      </c>
      <c r="G880" s="46"/>
      <c r="H880" s="46"/>
      <c r="I880" s="46"/>
      <c r="J880" s="46"/>
      <c r="K880" s="46"/>
      <c r="L880" s="46"/>
      <c r="M880" s="46"/>
      <c r="N880" s="46"/>
      <c r="O880" s="46"/>
      <c r="P880" s="46"/>
      <c r="Q880" s="46"/>
      <c r="R880" s="46"/>
      <c r="S880" s="46"/>
      <c r="T880" s="46"/>
      <c r="U880" s="46"/>
      <c r="V880" s="46"/>
      <c r="W880" s="46"/>
      <c r="X880" s="46"/>
      <c r="Y880" s="46"/>
      <c r="Z880" s="46"/>
      <c r="AA880" s="46"/>
    </row>
    <row r="881">
      <c r="A881" s="46"/>
      <c r="B881" s="46"/>
      <c r="C881" s="59" t="str">
        <f t="shared" si="3"/>
        <v/>
      </c>
      <c r="D881" s="46"/>
      <c r="E881" s="57" t="str">
        <f>IFERROR(__xludf.DUMMYFUNCTION("""COMPUTED_VALUE"""),"")</f>
        <v/>
      </c>
      <c r="F881" s="46" t="str">
        <f>IFERROR(__xludf.DUMMYFUNCTION("""COMPUTED_VALUE"""),"")</f>
        <v/>
      </c>
      <c r="G881" s="46"/>
      <c r="H881" s="46"/>
      <c r="I881" s="46"/>
      <c r="J881" s="46"/>
      <c r="K881" s="46"/>
      <c r="L881" s="46"/>
      <c r="M881" s="46"/>
      <c r="N881" s="46"/>
      <c r="O881" s="46"/>
      <c r="P881" s="46"/>
      <c r="Q881" s="46"/>
      <c r="R881" s="46"/>
      <c r="S881" s="46"/>
      <c r="T881" s="46"/>
      <c r="U881" s="46"/>
      <c r="V881" s="46"/>
      <c r="W881" s="46"/>
      <c r="X881" s="46"/>
      <c r="Y881" s="46"/>
      <c r="Z881" s="46"/>
      <c r="AA881" s="46"/>
    </row>
    <row r="882">
      <c r="A882" s="46"/>
      <c r="B882" s="46"/>
      <c r="C882" s="59" t="str">
        <f t="shared" si="3"/>
        <v/>
      </c>
      <c r="D882" s="46"/>
      <c r="E882" s="57" t="str">
        <f>IFERROR(__xludf.DUMMYFUNCTION("""COMPUTED_VALUE"""),"")</f>
        <v/>
      </c>
      <c r="F882" s="46" t="str">
        <f>IFERROR(__xludf.DUMMYFUNCTION("""COMPUTED_VALUE"""),"")</f>
        <v/>
      </c>
      <c r="G882" s="46"/>
      <c r="H882" s="46"/>
      <c r="I882" s="46"/>
      <c r="J882" s="46"/>
      <c r="K882" s="46"/>
      <c r="L882" s="46"/>
      <c r="M882" s="46"/>
      <c r="N882" s="46"/>
      <c r="O882" s="46"/>
      <c r="P882" s="46"/>
      <c r="Q882" s="46"/>
      <c r="R882" s="46"/>
      <c r="S882" s="46"/>
      <c r="T882" s="46"/>
      <c r="U882" s="46"/>
      <c r="V882" s="46"/>
      <c r="W882" s="46"/>
      <c r="X882" s="46"/>
      <c r="Y882" s="46"/>
      <c r="Z882" s="46"/>
      <c r="AA882" s="46"/>
    </row>
    <row r="883">
      <c r="A883" s="46"/>
      <c r="B883" s="46"/>
      <c r="C883" s="59" t="str">
        <f t="shared" si="3"/>
        <v/>
      </c>
      <c r="D883" s="46"/>
      <c r="E883" s="57" t="str">
        <f>IFERROR(__xludf.DUMMYFUNCTION("""COMPUTED_VALUE"""),"")</f>
        <v/>
      </c>
      <c r="F883" s="46" t="str">
        <f>IFERROR(__xludf.DUMMYFUNCTION("""COMPUTED_VALUE"""),"")</f>
        <v/>
      </c>
      <c r="G883" s="46"/>
      <c r="H883" s="46"/>
      <c r="I883" s="46"/>
      <c r="J883" s="46"/>
      <c r="K883" s="46"/>
      <c r="L883" s="46"/>
      <c r="M883" s="46"/>
      <c r="N883" s="46"/>
      <c r="O883" s="46"/>
      <c r="P883" s="46"/>
      <c r="Q883" s="46"/>
      <c r="R883" s="46"/>
      <c r="S883" s="46"/>
      <c r="T883" s="46"/>
      <c r="U883" s="46"/>
      <c r="V883" s="46"/>
      <c r="W883" s="46"/>
      <c r="X883" s="46"/>
      <c r="Y883" s="46"/>
      <c r="Z883" s="46"/>
      <c r="AA883" s="46"/>
    </row>
    <row r="884">
      <c r="A884" s="46"/>
      <c r="B884" s="46"/>
      <c r="C884" s="59" t="str">
        <f t="shared" si="3"/>
        <v/>
      </c>
      <c r="D884" s="46"/>
      <c r="E884" s="57" t="str">
        <f>IFERROR(__xludf.DUMMYFUNCTION("""COMPUTED_VALUE"""),"")</f>
        <v/>
      </c>
      <c r="F884" s="46" t="str">
        <f>IFERROR(__xludf.DUMMYFUNCTION("""COMPUTED_VALUE"""),"")</f>
        <v/>
      </c>
      <c r="G884" s="46"/>
      <c r="H884" s="46"/>
      <c r="I884" s="46"/>
      <c r="J884" s="46"/>
      <c r="K884" s="46"/>
      <c r="L884" s="46"/>
      <c r="M884" s="46"/>
      <c r="N884" s="46"/>
      <c r="O884" s="46"/>
      <c r="P884" s="46"/>
      <c r="Q884" s="46"/>
      <c r="R884" s="46"/>
      <c r="S884" s="46"/>
      <c r="T884" s="46"/>
      <c r="U884" s="46"/>
      <c r="V884" s="46"/>
      <c r="W884" s="46"/>
      <c r="X884" s="46"/>
      <c r="Y884" s="46"/>
      <c r="Z884" s="46"/>
      <c r="AA884" s="46"/>
    </row>
    <row r="885">
      <c r="A885" s="46"/>
      <c r="B885" s="46"/>
      <c r="C885" s="59" t="str">
        <f t="shared" si="3"/>
        <v/>
      </c>
      <c r="D885" s="46"/>
      <c r="E885" s="57" t="str">
        <f>IFERROR(__xludf.DUMMYFUNCTION("""COMPUTED_VALUE"""),"")</f>
        <v/>
      </c>
      <c r="F885" s="46" t="str">
        <f>IFERROR(__xludf.DUMMYFUNCTION("""COMPUTED_VALUE"""),"")</f>
        <v/>
      </c>
      <c r="G885" s="46"/>
      <c r="H885" s="46"/>
      <c r="I885" s="46"/>
      <c r="J885" s="46"/>
      <c r="K885" s="46"/>
      <c r="L885" s="46"/>
      <c r="M885" s="46"/>
      <c r="N885" s="46"/>
      <c r="O885" s="46"/>
      <c r="P885" s="46"/>
      <c r="Q885" s="46"/>
      <c r="R885" s="46"/>
      <c r="S885" s="46"/>
      <c r="T885" s="46"/>
      <c r="U885" s="46"/>
      <c r="V885" s="46"/>
      <c r="W885" s="46"/>
      <c r="X885" s="46"/>
      <c r="Y885" s="46"/>
      <c r="Z885" s="46"/>
      <c r="AA885" s="46"/>
    </row>
    <row r="886">
      <c r="A886" s="46"/>
      <c r="B886" s="46"/>
      <c r="C886" s="59" t="str">
        <f t="shared" si="3"/>
        <v/>
      </c>
      <c r="D886" s="46"/>
      <c r="E886" s="57" t="str">
        <f>IFERROR(__xludf.DUMMYFUNCTION("""COMPUTED_VALUE"""),"")</f>
        <v/>
      </c>
      <c r="F886" s="46" t="str">
        <f>IFERROR(__xludf.DUMMYFUNCTION("""COMPUTED_VALUE"""),"")</f>
        <v/>
      </c>
      <c r="G886" s="46"/>
      <c r="H886" s="46"/>
      <c r="I886" s="46"/>
      <c r="J886" s="46"/>
      <c r="K886" s="46"/>
      <c r="L886" s="46"/>
      <c r="M886" s="46"/>
      <c r="N886" s="46"/>
      <c r="O886" s="46"/>
      <c r="P886" s="46"/>
      <c r="Q886" s="46"/>
      <c r="R886" s="46"/>
      <c r="S886" s="46"/>
      <c r="T886" s="46"/>
      <c r="U886" s="46"/>
      <c r="V886" s="46"/>
      <c r="W886" s="46"/>
      <c r="X886" s="46"/>
      <c r="Y886" s="46"/>
      <c r="Z886" s="46"/>
      <c r="AA886" s="46"/>
    </row>
    <row r="887">
      <c r="A887" s="46"/>
      <c r="B887" s="46"/>
      <c r="C887" s="59" t="str">
        <f t="shared" si="3"/>
        <v/>
      </c>
      <c r="D887" s="46"/>
      <c r="E887" s="57" t="str">
        <f>IFERROR(__xludf.DUMMYFUNCTION("""COMPUTED_VALUE"""),"")</f>
        <v/>
      </c>
      <c r="F887" s="46" t="str">
        <f>IFERROR(__xludf.DUMMYFUNCTION("""COMPUTED_VALUE"""),"")</f>
        <v/>
      </c>
      <c r="G887" s="46"/>
      <c r="H887" s="46"/>
      <c r="I887" s="46"/>
      <c r="J887" s="46"/>
      <c r="K887" s="46"/>
      <c r="L887" s="46"/>
      <c r="M887" s="46"/>
      <c r="N887" s="46"/>
      <c r="O887" s="46"/>
      <c r="P887" s="46"/>
      <c r="Q887" s="46"/>
      <c r="R887" s="46"/>
      <c r="S887" s="46"/>
      <c r="T887" s="46"/>
      <c r="U887" s="46"/>
      <c r="V887" s="46"/>
      <c r="W887" s="46"/>
      <c r="X887" s="46"/>
      <c r="Y887" s="46"/>
      <c r="Z887" s="46"/>
      <c r="AA887" s="46"/>
    </row>
    <row r="888">
      <c r="A888" s="46"/>
      <c r="B888" s="46"/>
      <c r="C888" s="59" t="str">
        <f t="shared" si="3"/>
        <v/>
      </c>
      <c r="D888" s="46"/>
      <c r="E888" s="57" t="str">
        <f>IFERROR(__xludf.DUMMYFUNCTION("""COMPUTED_VALUE"""),"")</f>
        <v/>
      </c>
      <c r="F888" s="46" t="str">
        <f>IFERROR(__xludf.DUMMYFUNCTION("""COMPUTED_VALUE"""),"")</f>
        <v/>
      </c>
      <c r="G888" s="46"/>
      <c r="H888" s="46"/>
      <c r="I888" s="46"/>
      <c r="J888" s="46"/>
      <c r="K888" s="46"/>
      <c r="L888" s="46"/>
      <c r="M888" s="46"/>
      <c r="N888" s="46"/>
      <c r="O888" s="46"/>
      <c r="P888" s="46"/>
      <c r="Q888" s="46"/>
      <c r="R888" s="46"/>
      <c r="S888" s="46"/>
      <c r="T888" s="46"/>
      <c r="U888" s="46"/>
      <c r="V888" s="46"/>
      <c r="W888" s="46"/>
      <c r="X888" s="46"/>
      <c r="Y888" s="46"/>
      <c r="Z888" s="46"/>
      <c r="AA888" s="46"/>
    </row>
    <row r="889">
      <c r="A889" s="46"/>
      <c r="B889" s="46"/>
      <c r="C889" s="59" t="str">
        <f t="shared" si="3"/>
        <v/>
      </c>
      <c r="D889" s="46"/>
      <c r="E889" s="57" t="str">
        <f>IFERROR(__xludf.DUMMYFUNCTION("""COMPUTED_VALUE"""),"")</f>
        <v/>
      </c>
      <c r="F889" s="46" t="str">
        <f>IFERROR(__xludf.DUMMYFUNCTION("""COMPUTED_VALUE"""),"")</f>
        <v/>
      </c>
      <c r="G889" s="46"/>
      <c r="H889" s="46"/>
      <c r="I889" s="46"/>
      <c r="J889" s="46"/>
      <c r="K889" s="46"/>
      <c r="L889" s="46"/>
      <c r="M889" s="46"/>
      <c r="N889" s="46"/>
      <c r="O889" s="46"/>
      <c r="P889" s="46"/>
      <c r="Q889" s="46"/>
      <c r="R889" s="46"/>
      <c r="S889" s="46"/>
      <c r="T889" s="46"/>
      <c r="U889" s="46"/>
      <c r="V889" s="46"/>
      <c r="W889" s="46"/>
      <c r="X889" s="46"/>
      <c r="Y889" s="46"/>
      <c r="Z889" s="46"/>
      <c r="AA889" s="46"/>
    </row>
    <row r="890">
      <c r="A890" s="46"/>
      <c r="B890" s="46"/>
      <c r="C890" s="59" t="str">
        <f t="shared" si="3"/>
        <v/>
      </c>
      <c r="D890" s="46"/>
      <c r="E890" s="57" t="str">
        <f>IFERROR(__xludf.DUMMYFUNCTION("""COMPUTED_VALUE"""),"")</f>
        <v/>
      </c>
      <c r="F890" s="46" t="str">
        <f>IFERROR(__xludf.DUMMYFUNCTION("""COMPUTED_VALUE"""),"")</f>
        <v/>
      </c>
      <c r="G890" s="46"/>
      <c r="H890" s="46"/>
      <c r="I890" s="46"/>
      <c r="J890" s="46"/>
      <c r="K890" s="46"/>
      <c r="L890" s="46"/>
      <c r="M890" s="46"/>
      <c r="N890" s="46"/>
      <c r="O890" s="46"/>
      <c r="P890" s="46"/>
      <c r="Q890" s="46"/>
      <c r="R890" s="46"/>
      <c r="S890" s="46"/>
      <c r="T890" s="46"/>
      <c r="U890" s="46"/>
      <c r="V890" s="46"/>
      <c r="W890" s="46"/>
      <c r="X890" s="46"/>
      <c r="Y890" s="46"/>
      <c r="Z890" s="46"/>
      <c r="AA890" s="46"/>
    </row>
    <row r="891">
      <c r="A891" s="46"/>
      <c r="B891" s="46"/>
      <c r="C891" s="59" t="str">
        <f t="shared" si="3"/>
        <v/>
      </c>
      <c r="D891" s="46"/>
      <c r="E891" s="57" t="str">
        <f>IFERROR(__xludf.DUMMYFUNCTION("""COMPUTED_VALUE"""),"")</f>
        <v/>
      </c>
      <c r="F891" s="46" t="str">
        <f>IFERROR(__xludf.DUMMYFUNCTION("""COMPUTED_VALUE"""),"")</f>
        <v/>
      </c>
      <c r="G891" s="46"/>
      <c r="H891" s="46"/>
      <c r="I891" s="46"/>
      <c r="J891" s="46"/>
      <c r="K891" s="46"/>
      <c r="L891" s="46"/>
      <c r="M891" s="46"/>
      <c r="N891" s="46"/>
      <c r="O891" s="46"/>
      <c r="P891" s="46"/>
      <c r="Q891" s="46"/>
      <c r="R891" s="46"/>
      <c r="S891" s="46"/>
      <c r="T891" s="46"/>
      <c r="U891" s="46"/>
      <c r="V891" s="46"/>
      <c r="W891" s="46"/>
      <c r="X891" s="46"/>
      <c r="Y891" s="46"/>
      <c r="Z891" s="46"/>
      <c r="AA891" s="46"/>
    </row>
    <row r="892">
      <c r="A892" s="46"/>
      <c r="B892" s="46"/>
      <c r="C892" s="59" t="str">
        <f t="shared" si="3"/>
        <v/>
      </c>
      <c r="D892" s="46"/>
      <c r="E892" s="57" t="str">
        <f>IFERROR(__xludf.DUMMYFUNCTION("""COMPUTED_VALUE"""),"")</f>
        <v/>
      </c>
      <c r="F892" s="46" t="str">
        <f>IFERROR(__xludf.DUMMYFUNCTION("""COMPUTED_VALUE"""),"")</f>
        <v/>
      </c>
      <c r="G892" s="46"/>
      <c r="H892" s="46"/>
      <c r="I892" s="46"/>
      <c r="J892" s="46"/>
      <c r="K892" s="46"/>
      <c r="L892" s="46"/>
      <c r="M892" s="46"/>
      <c r="N892" s="46"/>
      <c r="O892" s="46"/>
      <c r="P892" s="46"/>
      <c r="Q892" s="46"/>
      <c r="R892" s="46"/>
      <c r="S892" s="46"/>
      <c r="T892" s="46"/>
      <c r="U892" s="46"/>
      <c r="V892" s="46"/>
      <c r="W892" s="46"/>
      <c r="X892" s="46"/>
      <c r="Y892" s="46"/>
      <c r="Z892" s="46"/>
      <c r="AA892" s="46"/>
    </row>
    <row r="893">
      <c r="A893" s="46"/>
      <c r="B893" s="46"/>
      <c r="C893" s="59" t="str">
        <f t="shared" si="3"/>
        <v/>
      </c>
      <c r="D893" s="46"/>
      <c r="E893" s="57" t="str">
        <f>IFERROR(__xludf.DUMMYFUNCTION("""COMPUTED_VALUE"""),"")</f>
        <v/>
      </c>
      <c r="F893" s="46" t="str">
        <f>IFERROR(__xludf.DUMMYFUNCTION("""COMPUTED_VALUE"""),"")</f>
        <v/>
      </c>
      <c r="G893" s="46"/>
      <c r="H893" s="46"/>
      <c r="I893" s="46"/>
      <c r="J893" s="46"/>
      <c r="K893" s="46"/>
      <c r="L893" s="46"/>
      <c r="M893" s="46"/>
      <c r="N893" s="46"/>
      <c r="O893" s="46"/>
      <c r="P893" s="46"/>
      <c r="Q893" s="46"/>
      <c r="R893" s="46"/>
      <c r="S893" s="46"/>
      <c r="T893" s="46"/>
      <c r="U893" s="46"/>
      <c r="V893" s="46"/>
      <c r="W893" s="46"/>
      <c r="X893" s="46"/>
      <c r="Y893" s="46"/>
      <c r="Z893" s="46"/>
      <c r="AA893" s="46"/>
    </row>
    <row r="894">
      <c r="A894" s="46"/>
      <c r="B894" s="46"/>
      <c r="C894" s="59" t="str">
        <f t="shared" si="3"/>
        <v/>
      </c>
      <c r="D894" s="46"/>
      <c r="E894" s="57" t="str">
        <f>IFERROR(__xludf.DUMMYFUNCTION("""COMPUTED_VALUE"""),"")</f>
        <v/>
      </c>
      <c r="F894" s="46" t="str">
        <f>IFERROR(__xludf.DUMMYFUNCTION("""COMPUTED_VALUE"""),"")</f>
        <v/>
      </c>
      <c r="G894" s="46"/>
      <c r="H894" s="46"/>
      <c r="I894" s="46"/>
      <c r="J894" s="46"/>
      <c r="K894" s="46"/>
      <c r="L894" s="46"/>
      <c r="M894" s="46"/>
      <c r="N894" s="46"/>
      <c r="O894" s="46"/>
      <c r="P894" s="46"/>
      <c r="Q894" s="46"/>
      <c r="R894" s="46"/>
      <c r="S894" s="46"/>
      <c r="T894" s="46"/>
      <c r="U894" s="46"/>
      <c r="V894" s="46"/>
      <c r="W894" s="46"/>
      <c r="X894" s="46"/>
      <c r="Y894" s="46"/>
      <c r="Z894" s="46"/>
      <c r="AA894" s="46"/>
    </row>
    <row r="895">
      <c r="A895" s="46"/>
      <c r="B895" s="46"/>
      <c r="C895" s="59" t="str">
        <f t="shared" si="3"/>
        <v/>
      </c>
      <c r="D895" s="46"/>
      <c r="E895" s="57" t="str">
        <f>IFERROR(__xludf.DUMMYFUNCTION("""COMPUTED_VALUE"""),"")</f>
        <v/>
      </c>
      <c r="F895" s="46" t="str">
        <f>IFERROR(__xludf.DUMMYFUNCTION("""COMPUTED_VALUE"""),"")</f>
        <v/>
      </c>
      <c r="G895" s="46"/>
      <c r="H895" s="46"/>
      <c r="I895" s="46"/>
      <c r="J895" s="46"/>
      <c r="K895" s="46"/>
      <c r="L895" s="46"/>
      <c r="M895" s="46"/>
      <c r="N895" s="46"/>
      <c r="O895" s="46"/>
      <c r="P895" s="46"/>
      <c r="Q895" s="46"/>
      <c r="R895" s="46"/>
      <c r="S895" s="46"/>
      <c r="T895" s="46"/>
      <c r="U895" s="46"/>
      <c r="V895" s="46"/>
      <c r="W895" s="46"/>
      <c r="X895" s="46"/>
      <c r="Y895" s="46"/>
      <c r="Z895" s="46"/>
      <c r="AA895" s="46"/>
    </row>
    <row r="896">
      <c r="A896" s="46"/>
      <c r="B896" s="46"/>
      <c r="C896" s="59" t="str">
        <f t="shared" si="3"/>
        <v/>
      </c>
      <c r="D896" s="46"/>
      <c r="E896" s="57" t="str">
        <f>IFERROR(__xludf.DUMMYFUNCTION("""COMPUTED_VALUE"""),"")</f>
        <v/>
      </c>
      <c r="F896" s="46" t="str">
        <f>IFERROR(__xludf.DUMMYFUNCTION("""COMPUTED_VALUE"""),"")</f>
        <v/>
      </c>
      <c r="G896" s="46"/>
      <c r="H896" s="46"/>
      <c r="I896" s="46"/>
      <c r="J896" s="46"/>
      <c r="K896" s="46"/>
      <c r="L896" s="46"/>
      <c r="M896" s="46"/>
      <c r="N896" s="46"/>
      <c r="O896" s="46"/>
      <c r="P896" s="46"/>
      <c r="Q896" s="46"/>
      <c r="R896" s="46"/>
      <c r="S896" s="46"/>
      <c r="T896" s="46"/>
      <c r="U896" s="46"/>
      <c r="V896" s="46"/>
      <c r="W896" s="46"/>
      <c r="X896" s="46"/>
      <c r="Y896" s="46"/>
      <c r="Z896" s="46"/>
      <c r="AA896" s="46"/>
    </row>
    <row r="897">
      <c r="A897" s="46"/>
      <c r="B897" s="46"/>
      <c r="C897" s="59" t="str">
        <f t="shared" si="3"/>
        <v/>
      </c>
      <c r="D897" s="46"/>
      <c r="E897" s="57" t="str">
        <f>IFERROR(__xludf.DUMMYFUNCTION("""COMPUTED_VALUE"""),"")</f>
        <v/>
      </c>
      <c r="F897" s="46" t="str">
        <f>IFERROR(__xludf.DUMMYFUNCTION("""COMPUTED_VALUE"""),"")</f>
        <v/>
      </c>
      <c r="G897" s="46"/>
      <c r="H897" s="46"/>
      <c r="I897" s="46"/>
      <c r="J897" s="46"/>
      <c r="K897" s="46"/>
      <c r="L897" s="46"/>
      <c r="M897" s="46"/>
      <c r="N897" s="46"/>
      <c r="O897" s="46"/>
      <c r="P897" s="46"/>
      <c r="Q897" s="46"/>
      <c r="R897" s="46"/>
      <c r="S897" s="46"/>
      <c r="T897" s="46"/>
      <c r="U897" s="46"/>
      <c r="V897" s="46"/>
      <c r="W897" s="46"/>
      <c r="X897" s="46"/>
      <c r="Y897" s="46"/>
      <c r="Z897" s="46"/>
      <c r="AA897" s="46"/>
    </row>
    <row r="898">
      <c r="A898" s="46"/>
      <c r="B898" s="46"/>
      <c r="C898" s="59" t="str">
        <f t="shared" si="3"/>
        <v/>
      </c>
      <c r="D898" s="46"/>
      <c r="E898" s="57" t="str">
        <f>IFERROR(__xludf.DUMMYFUNCTION("""COMPUTED_VALUE"""),"")</f>
        <v/>
      </c>
      <c r="F898" s="46" t="str">
        <f>IFERROR(__xludf.DUMMYFUNCTION("""COMPUTED_VALUE"""),"")</f>
        <v/>
      </c>
      <c r="G898" s="46"/>
      <c r="H898" s="46"/>
      <c r="I898" s="46"/>
      <c r="J898" s="46"/>
      <c r="K898" s="46"/>
      <c r="L898" s="46"/>
      <c r="M898" s="46"/>
      <c r="N898" s="46"/>
      <c r="O898" s="46"/>
      <c r="P898" s="46"/>
      <c r="Q898" s="46"/>
      <c r="R898" s="46"/>
      <c r="S898" s="46"/>
      <c r="T898" s="46"/>
      <c r="U898" s="46"/>
      <c r="V898" s="46"/>
      <c r="W898" s="46"/>
      <c r="X898" s="46"/>
      <c r="Y898" s="46"/>
      <c r="Z898" s="46"/>
      <c r="AA898" s="46"/>
    </row>
    <row r="899">
      <c r="A899" s="46"/>
      <c r="B899" s="46"/>
      <c r="C899" s="59" t="str">
        <f t="shared" si="3"/>
        <v/>
      </c>
      <c r="D899" s="46"/>
      <c r="E899" s="57" t="str">
        <f>IFERROR(__xludf.DUMMYFUNCTION("""COMPUTED_VALUE"""),"")</f>
        <v/>
      </c>
      <c r="F899" s="46" t="str">
        <f>IFERROR(__xludf.DUMMYFUNCTION("""COMPUTED_VALUE"""),"")</f>
        <v/>
      </c>
      <c r="G899" s="46"/>
      <c r="H899" s="46"/>
      <c r="I899" s="46"/>
      <c r="J899" s="46"/>
      <c r="K899" s="46"/>
      <c r="L899" s="46"/>
      <c r="M899" s="46"/>
      <c r="N899" s="46"/>
      <c r="O899" s="46"/>
      <c r="P899" s="46"/>
      <c r="Q899" s="46"/>
      <c r="R899" s="46"/>
      <c r="S899" s="46"/>
      <c r="T899" s="46"/>
      <c r="U899" s="46"/>
      <c r="V899" s="46"/>
      <c r="W899" s="46"/>
      <c r="X899" s="46"/>
      <c r="Y899" s="46"/>
      <c r="Z899" s="46"/>
      <c r="AA899" s="46"/>
    </row>
    <row r="900">
      <c r="A900" s="46"/>
      <c r="B900" s="46"/>
      <c r="C900" s="59" t="str">
        <f t="shared" si="3"/>
        <v/>
      </c>
      <c r="D900" s="46"/>
      <c r="E900" s="57" t="str">
        <f>IFERROR(__xludf.DUMMYFUNCTION("""COMPUTED_VALUE"""),"")</f>
        <v/>
      </c>
      <c r="F900" s="46" t="str">
        <f>IFERROR(__xludf.DUMMYFUNCTION("""COMPUTED_VALUE"""),"")</f>
        <v/>
      </c>
      <c r="G900" s="46"/>
      <c r="H900" s="46"/>
      <c r="I900" s="46"/>
      <c r="J900" s="46"/>
      <c r="K900" s="46"/>
      <c r="L900" s="46"/>
      <c r="M900" s="46"/>
      <c r="N900" s="46"/>
      <c r="O900" s="46"/>
      <c r="P900" s="46"/>
      <c r="Q900" s="46"/>
      <c r="R900" s="46"/>
      <c r="S900" s="46"/>
      <c r="T900" s="46"/>
      <c r="U900" s="46"/>
      <c r="V900" s="46"/>
      <c r="W900" s="46"/>
      <c r="X900" s="46"/>
      <c r="Y900" s="46"/>
      <c r="Z900" s="46"/>
      <c r="AA900" s="46"/>
    </row>
    <row r="901">
      <c r="A901" s="46"/>
      <c r="B901" s="46"/>
      <c r="C901" s="59" t="str">
        <f t="shared" si="3"/>
        <v/>
      </c>
      <c r="D901" s="46"/>
      <c r="E901" s="57" t="str">
        <f>IFERROR(__xludf.DUMMYFUNCTION("""COMPUTED_VALUE"""),"")</f>
        <v/>
      </c>
      <c r="F901" s="46" t="str">
        <f>IFERROR(__xludf.DUMMYFUNCTION("""COMPUTED_VALUE"""),"")</f>
        <v/>
      </c>
      <c r="G901" s="46"/>
      <c r="H901" s="46"/>
      <c r="I901" s="46"/>
      <c r="J901" s="46"/>
      <c r="K901" s="46"/>
      <c r="L901" s="46"/>
      <c r="M901" s="46"/>
      <c r="N901" s="46"/>
      <c r="O901" s="46"/>
      <c r="P901" s="46"/>
      <c r="Q901" s="46"/>
      <c r="R901" s="46"/>
      <c r="S901" s="46"/>
      <c r="T901" s="46"/>
      <c r="U901" s="46"/>
      <c r="V901" s="46"/>
      <c r="W901" s="46"/>
      <c r="X901" s="46"/>
      <c r="Y901" s="46"/>
      <c r="Z901" s="46"/>
      <c r="AA901" s="46"/>
    </row>
    <row r="902">
      <c r="A902" s="46"/>
      <c r="B902" s="46"/>
      <c r="C902" s="59" t="str">
        <f t="shared" si="3"/>
        <v/>
      </c>
      <c r="D902" s="46"/>
      <c r="E902" s="57" t="str">
        <f>IFERROR(__xludf.DUMMYFUNCTION("""COMPUTED_VALUE"""),"")</f>
        <v/>
      </c>
      <c r="F902" s="46" t="str">
        <f>IFERROR(__xludf.DUMMYFUNCTION("""COMPUTED_VALUE"""),"")</f>
        <v/>
      </c>
      <c r="G902" s="46"/>
      <c r="H902" s="46"/>
      <c r="I902" s="46"/>
      <c r="J902" s="46"/>
      <c r="K902" s="46"/>
      <c r="L902" s="46"/>
      <c r="M902" s="46"/>
      <c r="N902" s="46"/>
      <c r="O902" s="46"/>
      <c r="P902" s="46"/>
      <c r="Q902" s="46"/>
      <c r="R902" s="46"/>
      <c r="S902" s="46"/>
      <c r="T902" s="46"/>
      <c r="U902" s="46"/>
      <c r="V902" s="46"/>
      <c r="W902" s="46"/>
      <c r="X902" s="46"/>
      <c r="Y902" s="46"/>
      <c r="Z902" s="46"/>
      <c r="AA902" s="46"/>
    </row>
    <row r="903">
      <c r="A903" s="46"/>
      <c r="B903" s="46"/>
      <c r="C903" s="59" t="str">
        <f t="shared" si="3"/>
        <v/>
      </c>
      <c r="D903" s="46"/>
      <c r="E903" s="57" t="str">
        <f>IFERROR(__xludf.DUMMYFUNCTION("""COMPUTED_VALUE"""),"")</f>
        <v/>
      </c>
      <c r="F903" s="46" t="str">
        <f>IFERROR(__xludf.DUMMYFUNCTION("""COMPUTED_VALUE"""),"")</f>
        <v/>
      </c>
      <c r="G903" s="46"/>
      <c r="H903" s="46"/>
      <c r="I903" s="46"/>
      <c r="J903" s="46"/>
      <c r="K903" s="46"/>
      <c r="L903" s="46"/>
      <c r="M903" s="46"/>
      <c r="N903" s="46"/>
      <c r="O903" s="46"/>
      <c r="P903" s="46"/>
      <c r="Q903" s="46"/>
      <c r="R903" s="46"/>
      <c r="S903" s="46"/>
      <c r="T903" s="46"/>
      <c r="U903" s="46"/>
      <c r="V903" s="46"/>
      <c r="W903" s="46"/>
      <c r="X903" s="46"/>
      <c r="Y903" s="46"/>
      <c r="Z903" s="46"/>
      <c r="AA903" s="46"/>
    </row>
    <row r="904">
      <c r="A904" s="46"/>
      <c r="B904" s="46"/>
      <c r="C904" s="59" t="str">
        <f t="shared" si="3"/>
        <v/>
      </c>
      <c r="D904" s="46"/>
      <c r="E904" s="57" t="str">
        <f>IFERROR(__xludf.DUMMYFUNCTION("""COMPUTED_VALUE"""),"")</f>
        <v/>
      </c>
      <c r="F904" s="46" t="str">
        <f>IFERROR(__xludf.DUMMYFUNCTION("""COMPUTED_VALUE"""),"")</f>
        <v/>
      </c>
      <c r="G904" s="46"/>
      <c r="H904" s="46"/>
      <c r="I904" s="46"/>
      <c r="J904" s="46"/>
      <c r="K904" s="46"/>
      <c r="L904" s="46"/>
      <c r="M904" s="46"/>
      <c r="N904" s="46"/>
      <c r="O904" s="46"/>
      <c r="P904" s="46"/>
      <c r="Q904" s="46"/>
      <c r="R904" s="46"/>
      <c r="S904" s="46"/>
      <c r="T904" s="46"/>
      <c r="U904" s="46"/>
      <c r="V904" s="46"/>
      <c r="W904" s="46"/>
      <c r="X904" s="46"/>
      <c r="Y904" s="46"/>
      <c r="Z904" s="46"/>
      <c r="AA904" s="46"/>
    </row>
    <row r="905">
      <c r="A905" s="46"/>
      <c r="B905" s="46"/>
      <c r="C905" s="59" t="str">
        <f t="shared" si="3"/>
        <v/>
      </c>
      <c r="D905" s="46"/>
      <c r="E905" s="57" t="str">
        <f>IFERROR(__xludf.DUMMYFUNCTION("""COMPUTED_VALUE"""),"")</f>
        <v/>
      </c>
      <c r="F905" s="46" t="str">
        <f>IFERROR(__xludf.DUMMYFUNCTION("""COMPUTED_VALUE"""),"")</f>
        <v/>
      </c>
      <c r="G905" s="46"/>
      <c r="H905" s="46"/>
      <c r="I905" s="46"/>
      <c r="J905" s="46"/>
      <c r="K905" s="46"/>
      <c r="L905" s="46"/>
      <c r="M905" s="46"/>
      <c r="N905" s="46"/>
      <c r="O905" s="46"/>
      <c r="P905" s="46"/>
      <c r="Q905" s="46"/>
      <c r="R905" s="46"/>
      <c r="S905" s="46"/>
      <c r="T905" s="46"/>
      <c r="U905" s="46"/>
      <c r="V905" s="46"/>
      <c r="W905" s="46"/>
      <c r="X905" s="46"/>
      <c r="Y905" s="46"/>
      <c r="Z905" s="46"/>
      <c r="AA905" s="46"/>
    </row>
    <row r="906">
      <c r="A906" s="46"/>
      <c r="B906" s="46"/>
      <c r="C906" s="59" t="str">
        <f t="shared" si="3"/>
        <v/>
      </c>
      <c r="D906" s="46"/>
      <c r="E906" s="57" t="str">
        <f>IFERROR(__xludf.DUMMYFUNCTION("""COMPUTED_VALUE"""),"")</f>
        <v/>
      </c>
      <c r="F906" s="46" t="str">
        <f>IFERROR(__xludf.DUMMYFUNCTION("""COMPUTED_VALUE"""),"")</f>
        <v/>
      </c>
      <c r="G906" s="46"/>
      <c r="H906" s="46"/>
      <c r="I906" s="46"/>
      <c r="J906" s="46"/>
      <c r="K906" s="46"/>
      <c r="L906" s="46"/>
      <c r="M906" s="46"/>
      <c r="N906" s="46"/>
      <c r="O906" s="46"/>
      <c r="P906" s="46"/>
      <c r="Q906" s="46"/>
      <c r="R906" s="46"/>
      <c r="S906" s="46"/>
      <c r="T906" s="46"/>
      <c r="U906" s="46"/>
      <c r="V906" s="46"/>
      <c r="W906" s="46"/>
      <c r="X906" s="46"/>
      <c r="Y906" s="46"/>
      <c r="Z906" s="46"/>
      <c r="AA906" s="46"/>
    </row>
    <row r="907">
      <c r="A907" s="46"/>
      <c r="B907" s="46"/>
      <c r="C907" s="59" t="str">
        <f t="shared" si="3"/>
        <v/>
      </c>
      <c r="D907" s="46"/>
      <c r="E907" s="57" t="str">
        <f>IFERROR(__xludf.DUMMYFUNCTION("""COMPUTED_VALUE"""),"")</f>
        <v/>
      </c>
      <c r="F907" s="46" t="str">
        <f>IFERROR(__xludf.DUMMYFUNCTION("""COMPUTED_VALUE"""),"")</f>
        <v/>
      </c>
      <c r="G907" s="46"/>
      <c r="H907" s="46"/>
      <c r="I907" s="46"/>
      <c r="J907" s="46"/>
      <c r="K907" s="46"/>
      <c r="L907" s="46"/>
      <c r="M907" s="46"/>
      <c r="N907" s="46"/>
      <c r="O907" s="46"/>
      <c r="P907" s="46"/>
      <c r="Q907" s="46"/>
      <c r="R907" s="46"/>
      <c r="S907" s="46"/>
      <c r="T907" s="46"/>
      <c r="U907" s="46"/>
      <c r="V907" s="46"/>
      <c r="W907" s="46"/>
      <c r="X907" s="46"/>
      <c r="Y907" s="46"/>
      <c r="Z907" s="46"/>
      <c r="AA907" s="46"/>
    </row>
    <row r="908">
      <c r="A908" s="46"/>
      <c r="B908" s="46"/>
      <c r="C908" s="59" t="str">
        <f t="shared" si="3"/>
        <v/>
      </c>
      <c r="D908" s="46"/>
      <c r="E908" s="57" t="str">
        <f>IFERROR(__xludf.DUMMYFUNCTION("""COMPUTED_VALUE"""),"")</f>
        <v/>
      </c>
      <c r="F908" s="46" t="str">
        <f>IFERROR(__xludf.DUMMYFUNCTION("""COMPUTED_VALUE"""),"")</f>
        <v/>
      </c>
      <c r="G908" s="46"/>
      <c r="H908" s="46"/>
      <c r="I908" s="46"/>
      <c r="J908" s="46"/>
      <c r="K908" s="46"/>
      <c r="L908" s="46"/>
      <c r="M908" s="46"/>
      <c r="N908" s="46"/>
      <c r="O908" s="46"/>
      <c r="P908" s="46"/>
      <c r="Q908" s="46"/>
      <c r="R908" s="46"/>
      <c r="S908" s="46"/>
      <c r="T908" s="46"/>
      <c r="U908" s="46"/>
      <c r="V908" s="46"/>
      <c r="W908" s="46"/>
      <c r="X908" s="46"/>
      <c r="Y908" s="46"/>
      <c r="Z908" s="46"/>
      <c r="AA908" s="46"/>
    </row>
    <row r="909">
      <c r="A909" s="46"/>
      <c r="B909" s="46"/>
      <c r="C909" s="59" t="str">
        <f t="shared" si="3"/>
        <v/>
      </c>
      <c r="D909" s="46"/>
      <c r="E909" s="57" t="str">
        <f>IFERROR(__xludf.DUMMYFUNCTION("""COMPUTED_VALUE"""),"")</f>
        <v/>
      </c>
      <c r="F909" s="46" t="str">
        <f>IFERROR(__xludf.DUMMYFUNCTION("""COMPUTED_VALUE"""),"")</f>
        <v/>
      </c>
      <c r="G909" s="46"/>
      <c r="H909" s="46"/>
      <c r="I909" s="46"/>
      <c r="J909" s="46"/>
      <c r="K909" s="46"/>
      <c r="L909" s="46"/>
      <c r="M909" s="46"/>
      <c r="N909" s="46"/>
      <c r="O909" s="46"/>
      <c r="P909" s="46"/>
      <c r="Q909" s="46"/>
      <c r="R909" s="46"/>
      <c r="S909" s="46"/>
      <c r="T909" s="46"/>
      <c r="U909" s="46"/>
      <c r="V909" s="46"/>
      <c r="W909" s="46"/>
      <c r="X909" s="46"/>
      <c r="Y909" s="46"/>
      <c r="Z909" s="46"/>
      <c r="AA909" s="46"/>
    </row>
    <row r="910">
      <c r="A910" s="46"/>
      <c r="B910" s="46"/>
      <c r="C910" s="59" t="str">
        <f t="shared" si="3"/>
        <v/>
      </c>
      <c r="D910" s="46"/>
      <c r="E910" s="57" t="str">
        <f>IFERROR(__xludf.DUMMYFUNCTION("""COMPUTED_VALUE"""),"")</f>
        <v/>
      </c>
      <c r="F910" s="46" t="str">
        <f>IFERROR(__xludf.DUMMYFUNCTION("""COMPUTED_VALUE"""),"")</f>
        <v/>
      </c>
      <c r="G910" s="46"/>
      <c r="H910" s="46"/>
      <c r="I910" s="46"/>
      <c r="J910" s="46"/>
      <c r="K910" s="46"/>
      <c r="L910" s="46"/>
      <c r="M910" s="46"/>
      <c r="N910" s="46"/>
      <c r="O910" s="46"/>
      <c r="P910" s="46"/>
      <c r="Q910" s="46"/>
      <c r="R910" s="46"/>
      <c r="S910" s="46"/>
      <c r="T910" s="46"/>
      <c r="U910" s="46"/>
      <c r="V910" s="46"/>
      <c r="W910" s="46"/>
      <c r="X910" s="46"/>
      <c r="Y910" s="46"/>
      <c r="Z910" s="46"/>
      <c r="AA910" s="46"/>
    </row>
    <row r="911">
      <c r="A911" s="46"/>
      <c r="B911" s="46"/>
      <c r="C911" s="59" t="str">
        <f t="shared" si="3"/>
        <v/>
      </c>
      <c r="D911" s="46"/>
      <c r="E911" s="57" t="str">
        <f>IFERROR(__xludf.DUMMYFUNCTION("""COMPUTED_VALUE"""),"")</f>
        <v/>
      </c>
      <c r="F911" s="46" t="str">
        <f>IFERROR(__xludf.DUMMYFUNCTION("""COMPUTED_VALUE"""),"")</f>
        <v/>
      </c>
      <c r="G911" s="46"/>
      <c r="H911" s="46"/>
      <c r="I911" s="46"/>
      <c r="J911" s="46"/>
      <c r="K911" s="46"/>
      <c r="L911" s="46"/>
      <c r="M911" s="46"/>
      <c r="N911" s="46"/>
      <c r="O911" s="46"/>
      <c r="P911" s="46"/>
      <c r="Q911" s="46"/>
      <c r="R911" s="46"/>
      <c r="S911" s="46"/>
      <c r="T911" s="46"/>
      <c r="U911" s="46"/>
      <c r="V911" s="46"/>
      <c r="W911" s="46"/>
      <c r="X911" s="46"/>
      <c r="Y911" s="46"/>
      <c r="Z911" s="46"/>
      <c r="AA911" s="46"/>
    </row>
    <row r="912">
      <c r="A912" s="46"/>
      <c r="B912" s="46"/>
      <c r="C912" s="59" t="str">
        <f t="shared" si="3"/>
        <v/>
      </c>
      <c r="D912" s="46"/>
      <c r="E912" s="57" t="str">
        <f>IFERROR(__xludf.DUMMYFUNCTION("""COMPUTED_VALUE"""),"")</f>
        <v/>
      </c>
      <c r="F912" s="46" t="str">
        <f>IFERROR(__xludf.DUMMYFUNCTION("""COMPUTED_VALUE"""),"")</f>
        <v/>
      </c>
      <c r="G912" s="46"/>
      <c r="H912" s="46"/>
      <c r="I912" s="46"/>
      <c r="J912" s="46"/>
      <c r="K912" s="46"/>
      <c r="L912" s="46"/>
      <c r="M912" s="46"/>
      <c r="N912" s="46"/>
      <c r="O912" s="46"/>
      <c r="P912" s="46"/>
      <c r="Q912" s="46"/>
      <c r="R912" s="46"/>
      <c r="S912" s="46"/>
      <c r="T912" s="46"/>
      <c r="U912" s="46"/>
      <c r="V912" s="46"/>
      <c r="W912" s="46"/>
      <c r="X912" s="46"/>
      <c r="Y912" s="46"/>
      <c r="Z912" s="46"/>
      <c r="AA912" s="46"/>
    </row>
    <row r="913">
      <c r="A913" s="46"/>
      <c r="B913" s="46"/>
      <c r="C913" s="59" t="str">
        <f t="shared" si="3"/>
        <v/>
      </c>
      <c r="D913" s="46"/>
      <c r="E913" s="57" t="str">
        <f>IFERROR(__xludf.DUMMYFUNCTION("""COMPUTED_VALUE"""),"")</f>
        <v/>
      </c>
      <c r="F913" s="46" t="str">
        <f>IFERROR(__xludf.DUMMYFUNCTION("""COMPUTED_VALUE"""),"")</f>
        <v/>
      </c>
      <c r="G913" s="46"/>
      <c r="H913" s="46"/>
      <c r="I913" s="46"/>
      <c r="J913" s="46"/>
      <c r="K913" s="46"/>
      <c r="L913" s="46"/>
      <c r="M913" s="46"/>
      <c r="N913" s="46"/>
      <c r="O913" s="46"/>
      <c r="P913" s="46"/>
      <c r="Q913" s="46"/>
      <c r="R913" s="46"/>
      <c r="S913" s="46"/>
      <c r="T913" s="46"/>
      <c r="U913" s="46"/>
      <c r="V913" s="46"/>
      <c r="W913" s="46"/>
      <c r="X913" s="46"/>
      <c r="Y913" s="46"/>
      <c r="Z913" s="46"/>
      <c r="AA913" s="46"/>
    </row>
    <row r="914">
      <c r="A914" s="46"/>
      <c r="B914" s="46"/>
      <c r="C914" s="59" t="str">
        <f t="shared" si="3"/>
        <v/>
      </c>
      <c r="D914" s="46"/>
      <c r="E914" s="57" t="str">
        <f>IFERROR(__xludf.DUMMYFUNCTION("""COMPUTED_VALUE"""),"")</f>
        <v/>
      </c>
      <c r="F914" s="46" t="str">
        <f>IFERROR(__xludf.DUMMYFUNCTION("""COMPUTED_VALUE"""),"")</f>
        <v/>
      </c>
      <c r="G914" s="46"/>
      <c r="H914" s="46"/>
      <c r="I914" s="46"/>
      <c r="J914" s="46"/>
      <c r="K914" s="46"/>
      <c r="L914" s="46"/>
      <c r="M914" s="46"/>
      <c r="N914" s="46"/>
      <c r="O914" s="46"/>
      <c r="P914" s="46"/>
      <c r="Q914" s="46"/>
      <c r="R914" s="46"/>
      <c r="S914" s="46"/>
      <c r="T914" s="46"/>
      <c r="U914" s="46"/>
      <c r="V914" s="46"/>
      <c r="W914" s="46"/>
      <c r="X914" s="46"/>
      <c r="Y914" s="46"/>
      <c r="Z914" s="46"/>
      <c r="AA914" s="46"/>
    </row>
    <row r="915">
      <c r="A915" s="46"/>
      <c r="B915" s="46"/>
      <c r="C915" s="59" t="str">
        <f t="shared" si="3"/>
        <v/>
      </c>
      <c r="D915" s="46"/>
      <c r="E915" s="57" t="str">
        <f>IFERROR(__xludf.DUMMYFUNCTION("""COMPUTED_VALUE"""),"")</f>
        <v/>
      </c>
      <c r="F915" s="46" t="str">
        <f>IFERROR(__xludf.DUMMYFUNCTION("""COMPUTED_VALUE"""),"")</f>
        <v/>
      </c>
      <c r="G915" s="46"/>
      <c r="H915" s="46"/>
      <c r="I915" s="46"/>
      <c r="J915" s="46"/>
      <c r="K915" s="46"/>
      <c r="L915" s="46"/>
      <c r="M915" s="46"/>
      <c r="N915" s="46"/>
      <c r="O915" s="46"/>
      <c r="P915" s="46"/>
      <c r="Q915" s="46"/>
      <c r="R915" s="46"/>
      <c r="S915" s="46"/>
      <c r="T915" s="46"/>
      <c r="U915" s="46"/>
      <c r="V915" s="46"/>
      <c r="W915" s="46"/>
      <c r="X915" s="46"/>
      <c r="Y915" s="46"/>
      <c r="Z915" s="46"/>
      <c r="AA915" s="46"/>
    </row>
    <row r="916">
      <c r="A916" s="46"/>
      <c r="B916" s="46"/>
      <c r="C916" s="59" t="str">
        <f t="shared" si="3"/>
        <v/>
      </c>
      <c r="D916" s="46"/>
      <c r="E916" s="57" t="str">
        <f>IFERROR(__xludf.DUMMYFUNCTION("""COMPUTED_VALUE"""),"")</f>
        <v/>
      </c>
      <c r="F916" s="46" t="str">
        <f>IFERROR(__xludf.DUMMYFUNCTION("""COMPUTED_VALUE"""),"")</f>
        <v/>
      </c>
      <c r="G916" s="46"/>
      <c r="H916" s="46"/>
      <c r="I916" s="46"/>
      <c r="J916" s="46"/>
      <c r="K916" s="46"/>
      <c r="L916" s="46"/>
      <c r="M916" s="46"/>
      <c r="N916" s="46"/>
      <c r="O916" s="46"/>
      <c r="P916" s="46"/>
      <c r="Q916" s="46"/>
      <c r="R916" s="46"/>
      <c r="S916" s="46"/>
      <c r="T916" s="46"/>
      <c r="U916" s="46"/>
      <c r="V916" s="46"/>
      <c r="W916" s="46"/>
      <c r="X916" s="46"/>
      <c r="Y916" s="46"/>
      <c r="Z916" s="46"/>
      <c r="AA916" s="46"/>
    </row>
    <row r="917">
      <c r="A917" s="46"/>
      <c r="B917" s="46"/>
      <c r="C917" s="59" t="str">
        <f t="shared" si="3"/>
        <v/>
      </c>
      <c r="D917" s="46"/>
      <c r="E917" s="57" t="str">
        <f>IFERROR(__xludf.DUMMYFUNCTION("""COMPUTED_VALUE"""),"")</f>
        <v/>
      </c>
      <c r="F917" s="46" t="str">
        <f>IFERROR(__xludf.DUMMYFUNCTION("""COMPUTED_VALUE"""),"")</f>
        <v/>
      </c>
      <c r="G917" s="46"/>
      <c r="H917" s="46"/>
      <c r="I917" s="46"/>
      <c r="J917" s="46"/>
      <c r="K917" s="46"/>
      <c r="L917" s="46"/>
      <c r="M917" s="46"/>
      <c r="N917" s="46"/>
      <c r="O917" s="46"/>
      <c r="P917" s="46"/>
      <c r="Q917" s="46"/>
      <c r="R917" s="46"/>
      <c r="S917" s="46"/>
      <c r="T917" s="46"/>
      <c r="U917" s="46"/>
      <c r="V917" s="46"/>
      <c r="W917" s="46"/>
      <c r="X917" s="46"/>
      <c r="Y917" s="46"/>
      <c r="Z917" s="46"/>
      <c r="AA917" s="46"/>
    </row>
    <row r="918">
      <c r="A918" s="46"/>
      <c r="B918" s="46"/>
      <c r="C918" s="59" t="str">
        <f t="shared" si="3"/>
        <v/>
      </c>
      <c r="D918" s="46"/>
      <c r="E918" s="57" t="str">
        <f>IFERROR(__xludf.DUMMYFUNCTION("""COMPUTED_VALUE"""),"")</f>
        <v/>
      </c>
      <c r="F918" s="46" t="str">
        <f>IFERROR(__xludf.DUMMYFUNCTION("""COMPUTED_VALUE"""),"")</f>
        <v/>
      </c>
      <c r="G918" s="46"/>
      <c r="H918" s="46"/>
      <c r="I918" s="46"/>
      <c r="J918" s="46"/>
      <c r="K918" s="46"/>
      <c r="L918" s="46"/>
      <c r="M918" s="46"/>
      <c r="N918" s="46"/>
      <c r="O918" s="46"/>
      <c r="P918" s="46"/>
      <c r="Q918" s="46"/>
      <c r="R918" s="46"/>
      <c r="S918" s="46"/>
      <c r="T918" s="46"/>
      <c r="U918" s="46"/>
      <c r="V918" s="46"/>
      <c r="W918" s="46"/>
      <c r="X918" s="46"/>
      <c r="Y918" s="46"/>
      <c r="Z918" s="46"/>
      <c r="AA918" s="46"/>
    </row>
    <row r="919">
      <c r="A919" s="46"/>
      <c r="B919" s="46"/>
      <c r="C919" s="59" t="str">
        <f t="shared" si="3"/>
        <v/>
      </c>
      <c r="D919" s="46"/>
      <c r="E919" s="57" t="str">
        <f>IFERROR(__xludf.DUMMYFUNCTION("""COMPUTED_VALUE"""),"")</f>
        <v/>
      </c>
      <c r="F919" s="46" t="str">
        <f>IFERROR(__xludf.DUMMYFUNCTION("""COMPUTED_VALUE"""),"")</f>
        <v/>
      </c>
      <c r="G919" s="46"/>
      <c r="H919" s="46"/>
      <c r="I919" s="46"/>
      <c r="J919" s="46"/>
      <c r="K919" s="46"/>
      <c r="L919" s="46"/>
      <c r="M919" s="46"/>
      <c r="N919" s="46"/>
      <c r="O919" s="46"/>
      <c r="P919" s="46"/>
      <c r="Q919" s="46"/>
      <c r="R919" s="46"/>
      <c r="S919" s="46"/>
      <c r="T919" s="46"/>
      <c r="U919" s="46"/>
      <c r="V919" s="46"/>
      <c r="W919" s="46"/>
      <c r="X919" s="46"/>
      <c r="Y919" s="46"/>
      <c r="Z919" s="46"/>
      <c r="AA919" s="46"/>
    </row>
    <row r="920">
      <c r="A920" s="46"/>
      <c r="B920" s="46"/>
      <c r="C920" s="59" t="str">
        <f t="shared" si="3"/>
        <v/>
      </c>
      <c r="D920" s="46"/>
      <c r="E920" s="57" t="str">
        <f>IFERROR(__xludf.DUMMYFUNCTION("""COMPUTED_VALUE"""),"")</f>
        <v/>
      </c>
      <c r="F920" s="46" t="str">
        <f>IFERROR(__xludf.DUMMYFUNCTION("""COMPUTED_VALUE"""),"")</f>
        <v/>
      </c>
      <c r="G920" s="46"/>
      <c r="H920" s="46"/>
      <c r="I920" s="46"/>
      <c r="J920" s="46"/>
      <c r="K920" s="46"/>
      <c r="L920" s="46"/>
      <c r="M920" s="46"/>
      <c r="N920" s="46"/>
      <c r="O920" s="46"/>
      <c r="P920" s="46"/>
      <c r="Q920" s="46"/>
      <c r="R920" s="46"/>
      <c r="S920" s="46"/>
      <c r="T920" s="46"/>
      <c r="U920" s="46"/>
      <c r="V920" s="46"/>
      <c r="W920" s="46"/>
      <c r="X920" s="46"/>
      <c r="Y920" s="46"/>
      <c r="Z920" s="46"/>
      <c r="AA920" s="46"/>
    </row>
    <row r="921">
      <c r="A921" s="46"/>
      <c r="B921" s="46"/>
      <c r="C921" s="59" t="str">
        <f t="shared" si="3"/>
        <v/>
      </c>
      <c r="D921" s="46"/>
      <c r="E921" s="57" t="str">
        <f>IFERROR(__xludf.DUMMYFUNCTION("""COMPUTED_VALUE"""),"")</f>
        <v/>
      </c>
      <c r="F921" s="46" t="str">
        <f>IFERROR(__xludf.DUMMYFUNCTION("""COMPUTED_VALUE"""),"")</f>
        <v/>
      </c>
      <c r="G921" s="46"/>
      <c r="H921" s="46"/>
      <c r="I921" s="46"/>
      <c r="J921" s="46"/>
      <c r="K921" s="46"/>
      <c r="L921" s="46"/>
      <c r="M921" s="46"/>
      <c r="N921" s="46"/>
      <c r="O921" s="46"/>
      <c r="P921" s="46"/>
      <c r="Q921" s="46"/>
      <c r="R921" s="46"/>
      <c r="S921" s="46"/>
      <c r="T921" s="46"/>
      <c r="U921" s="46"/>
      <c r="V921" s="46"/>
      <c r="W921" s="46"/>
      <c r="X921" s="46"/>
      <c r="Y921" s="46"/>
      <c r="Z921" s="46"/>
      <c r="AA921" s="46"/>
    </row>
    <row r="922">
      <c r="A922" s="46"/>
      <c r="B922" s="46"/>
      <c r="C922" s="59" t="str">
        <f t="shared" si="3"/>
        <v/>
      </c>
      <c r="D922" s="46"/>
      <c r="E922" s="57" t="str">
        <f>IFERROR(__xludf.DUMMYFUNCTION("""COMPUTED_VALUE"""),"")</f>
        <v/>
      </c>
      <c r="F922" s="46" t="str">
        <f>IFERROR(__xludf.DUMMYFUNCTION("""COMPUTED_VALUE"""),"")</f>
        <v/>
      </c>
      <c r="G922" s="46"/>
      <c r="H922" s="46"/>
      <c r="I922" s="46"/>
      <c r="J922" s="46"/>
      <c r="K922" s="46"/>
      <c r="L922" s="46"/>
      <c r="M922" s="46"/>
      <c r="N922" s="46"/>
      <c r="O922" s="46"/>
      <c r="P922" s="46"/>
      <c r="Q922" s="46"/>
      <c r="R922" s="46"/>
      <c r="S922" s="46"/>
      <c r="T922" s="46"/>
      <c r="U922" s="46"/>
      <c r="V922" s="46"/>
      <c r="W922" s="46"/>
      <c r="X922" s="46"/>
      <c r="Y922" s="46"/>
      <c r="Z922" s="46"/>
      <c r="AA922" s="46"/>
    </row>
    <row r="923">
      <c r="A923" s="46"/>
      <c r="B923" s="46"/>
      <c r="C923" s="59" t="str">
        <f t="shared" si="3"/>
        <v/>
      </c>
      <c r="D923" s="46"/>
      <c r="E923" s="57" t="str">
        <f>IFERROR(__xludf.DUMMYFUNCTION("""COMPUTED_VALUE"""),"")</f>
        <v/>
      </c>
      <c r="F923" s="46" t="str">
        <f>IFERROR(__xludf.DUMMYFUNCTION("""COMPUTED_VALUE"""),"")</f>
        <v/>
      </c>
      <c r="G923" s="46"/>
      <c r="H923" s="46"/>
      <c r="I923" s="46"/>
      <c r="J923" s="46"/>
      <c r="K923" s="46"/>
      <c r="L923" s="46"/>
      <c r="M923" s="46"/>
      <c r="N923" s="46"/>
      <c r="O923" s="46"/>
      <c r="P923" s="46"/>
      <c r="Q923" s="46"/>
      <c r="R923" s="46"/>
      <c r="S923" s="46"/>
      <c r="T923" s="46"/>
      <c r="U923" s="46"/>
      <c r="V923" s="46"/>
      <c r="W923" s="46"/>
      <c r="X923" s="46"/>
      <c r="Y923" s="46"/>
      <c r="Z923" s="46"/>
      <c r="AA923" s="46"/>
    </row>
    <row r="924">
      <c r="A924" s="46"/>
      <c r="B924" s="46"/>
      <c r="C924" s="59" t="str">
        <f t="shared" si="3"/>
        <v/>
      </c>
      <c r="D924" s="46"/>
      <c r="E924" s="57" t="str">
        <f>IFERROR(__xludf.DUMMYFUNCTION("""COMPUTED_VALUE"""),"")</f>
        <v/>
      </c>
      <c r="F924" s="46" t="str">
        <f>IFERROR(__xludf.DUMMYFUNCTION("""COMPUTED_VALUE"""),"")</f>
        <v/>
      </c>
      <c r="G924" s="46"/>
      <c r="H924" s="46"/>
      <c r="I924" s="46"/>
      <c r="J924" s="46"/>
      <c r="K924" s="46"/>
      <c r="L924" s="46"/>
      <c r="M924" s="46"/>
      <c r="N924" s="46"/>
      <c r="O924" s="46"/>
      <c r="P924" s="46"/>
      <c r="Q924" s="46"/>
      <c r="R924" s="46"/>
      <c r="S924" s="46"/>
      <c r="T924" s="46"/>
      <c r="U924" s="46"/>
      <c r="V924" s="46"/>
      <c r="W924" s="46"/>
      <c r="X924" s="46"/>
      <c r="Y924" s="46"/>
      <c r="Z924" s="46"/>
      <c r="AA924" s="46"/>
    </row>
    <row r="925">
      <c r="A925" s="46"/>
      <c r="B925" s="46"/>
      <c r="C925" s="59" t="str">
        <f t="shared" si="3"/>
        <v/>
      </c>
      <c r="D925" s="46"/>
      <c r="E925" s="57" t="str">
        <f>IFERROR(__xludf.DUMMYFUNCTION("""COMPUTED_VALUE"""),"")</f>
        <v/>
      </c>
      <c r="F925" s="46" t="str">
        <f>IFERROR(__xludf.DUMMYFUNCTION("""COMPUTED_VALUE"""),"")</f>
        <v/>
      </c>
      <c r="G925" s="46"/>
      <c r="H925" s="46"/>
      <c r="I925" s="46"/>
      <c r="J925" s="46"/>
      <c r="K925" s="46"/>
      <c r="L925" s="46"/>
      <c r="M925" s="46"/>
      <c r="N925" s="46"/>
      <c r="O925" s="46"/>
      <c r="P925" s="46"/>
      <c r="Q925" s="46"/>
      <c r="R925" s="46"/>
      <c r="S925" s="46"/>
      <c r="T925" s="46"/>
      <c r="U925" s="46"/>
      <c r="V925" s="46"/>
      <c r="W925" s="46"/>
      <c r="X925" s="46"/>
      <c r="Y925" s="46"/>
      <c r="Z925" s="46"/>
      <c r="AA925" s="46"/>
    </row>
    <row r="926">
      <c r="A926" s="46"/>
      <c r="B926" s="46"/>
      <c r="C926" s="59" t="str">
        <f t="shared" si="3"/>
        <v/>
      </c>
      <c r="D926" s="46"/>
      <c r="E926" s="57" t="str">
        <f>IFERROR(__xludf.DUMMYFUNCTION("""COMPUTED_VALUE"""),"")</f>
        <v/>
      </c>
      <c r="F926" s="46" t="str">
        <f>IFERROR(__xludf.DUMMYFUNCTION("""COMPUTED_VALUE"""),"")</f>
        <v/>
      </c>
      <c r="G926" s="46"/>
      <c r="H926" s="46"/>
      <c r="I926" s="46"/>
      <c r="J926" s="46"/>
      <c r="K926" s="46"/>
      <c r="L926" s="46"/>
      <c r="M926" s="46"/>
      <c r="N926" s="46"/>
      <c r="O926" s="46"/>
      <c r="P926" s="46"/>
      <c r="Q926" s="46"/>
      <c r="R926" s="46"/>
      <c r="S926" s="46"/>
      <c r="T926" s="46"/>
      <c r="U926" s="46"/>
      <c r="V926" s="46"/>
      <c r="W926" s="46"/>
      <c r="X926" s="46"/>
      <c r="Y926" s="46"/>
      <c r="Z926" s="46"/>
      <c r="AA926" s="46"/>
    </row>
    <row r="927">
      <c r="A927" s="46"/>
      <c r="B927" s="46"/>
      <c r="C927" s="59" t="str">
        <f t="shared" si="3"/>
        <v/>
      </c>
      <c r="D927" s="46"/>
      <c r="E927" s="57" t="str">
        <f>IFERROR(__xludf.DUMMYFUNCTION("""COMPUTED_VALUE"""),"")</f>
        <v/>
      </c>
      <c r="F927" s="46" t="str">
        <f>IFERROR(__xludf.DUMMYFUNCTION("""COMPUTED_VALUE"""),"")</f>
        <v/>
      </c>
      <c r="G927" s="46"/>
      <c r="H927" s="46"/>
      <c r="I927" s="46"/>
      <c r="J927" s="46"/>
      <c r="K927" s="46"/>
      <c r="L927" s="46"/>
      <c r="M927" s="46"/>
      <c r="N927" s="46"/>
      <c r="O927" s="46"/>
      <c r="P927" s="46"/>
      <c r="Q927" s="46"/>
      <c r="R927" s="46"/>
      <c r="S927" s="46"/>
      <c r="T927" s="46"/>
      <c r="U927" s="46"/>
      <c r="V927" s="46"/>
      <c r="W927" s="46"/>
      <c r="X927" s="46"/>
      <c r="Y927" s="46"/>
      <c r="Z927" s="46"/>
      <c r="AA927" s="46"/>
    </row>
    <row r="928">
      <c r="A928" s="46"/>
      <c r="B928" s="46"/>
      <c r="C928" s="59" t="str">
        <f t="shared" si="3"/>
        <v/>
      </c>
      <c r="D928" s="46"/>
      <c r="E928" s="57" t="str">
        <f>IFERROR(__xludf.DUMMYFUNCTION("""COMPUTED_VALUE"""),"")</f>
        <v/>
      </c>
      <c r="F928" s="46" t="str">
        <f>IFERROR(__xludf.DUMMYFUNCTION("""COMPUTED_VALUE"""),"")</f>
        <v/>
      </c>
      <c r="G928" s="46"/>
      <c r="H928" s="46"/>
      <c r="I928" s="46"/>
      <c r="J928" s="46"/>
      <c r="K928" s="46"/>
      <c r="L928" s="46"/>
      <c r="M928" s="46"/>
      <c r="N928" s="46"/>
      <c r="O928" s="46"/>
      <c r="P928" s="46"/>
      <c r="Q928" s="46"/>
      <c r="R928" s="46"/>
      <c r="S928" s="46"/>
      <c r="T928" s="46"/>
      <c r="U928" s="46"/>
      <c r="V928" s="46"/>
      <c r="W928" s="46"/>
      <c r="X928" s="46"/>
      <c r="Y928" s="46"/>
      <c r="Z928" s="46"/>
      <c r="AA928" s="46"/>
    </row>
    <row r="929">
      <c r="A929" s="46"/>
      <c r="B929" s="46"/>
      <c r="C929" s="59" t="str">
        <f t="shared" si="3"/>
        <v/>
      </c>
      <c r="D929" s="46"/>
      <c r="E929" s="57" t="str">
        <f>IFERROR(__xludf.DUMMYFUNCTION("""COMPUTED_VALUE"""),"")</f>
        <v/>
      </c>
      <c r="F929" s="46" t="str">
        <f>IFERROR(__xludf.DUMMYFUNCTION("""COMPUTED_VALUE"""),"")</f>
        <v/>
      </c>
      <c r="G929" s="46"/>
      <c r="H929" s="46"/>
      <c r="I929" s="46"/>
      <c r="J929" s="46"/>
      <c r="K929" s="46"/>
      <c r="L929" s="46"/>
      <c r="M929" s="46"/>
      <c r="N929" s="46"/>
      <c r="O929" s="46"/>
      <c r="P929" s="46"/>
      <c r="Q929" s="46"/>
      <c r="R929" s="46"/>
      <c r="S929" s="46"/>
      <c r="T929" s="46"/>
      <c r="U929" s="46"/>
      <c r="V929" s="46"/>
      <c r="W929" s="46"/>
      <c r="X929" s="46"/>
      <c r="Y929" s="46"/>
      <c r="Z929" s="46"/>
      <c r="AA929" s="46"/>
    </row>
    <row r="930">
      <c r="A930" s="46"/>
      <c r="B930" s="46"/>
      <c r="C930" s="59" t="str">
        <f t="shared" si="3"/>
        <v/>
      </c>
      <c r="D930" s="46"/>
      <c r="E930" s="57" t="str">
        <f>IFERROR(__xludf.DUMMYFUNCTION("""COMPUTED_VALUE"""),"")</f>
        <v/>
      </c>
      <c r="F930" s="46" t="str">
        <f>IFERROR(__xludf.DUMMYFUNCTION("""COMPUTED_VALUE"""),"")</f>
        <v/>
      </c>
      <c r="G930" s="46"/>
      <c r="H930" s="46"/>
      <c r="I930" s="46"/>
      <c r="J930" s="46"/>
      <c r="K930" s="46"/>
      <c r="L930" s="46"/>
      <c r="M930" s="46"/>
      <c r="N930" s="46"/>
      <c r="O930" s="46"/>
      <c r="P930" s="46"/>
      <c r="Q930" s="46"/>
      <c r="R930" s="46"/>
      <c r="S930" s="46"/>
      <c r="T930" s="46"/>
      <c r="U930" s="46"/>
      <c r="V930" s="46"/>
      <c r="W930" s="46"/>
      <c r="X930" s="46"/>
      <c r="Y930" s="46"/>
      <c r="Z930" s="46"/>
      <c r="AA930" s="46"/>
    </row>
    <row r="931">
      <c r="A931" s="46"/>
      <c r="B931" s="46"/>
      <c r="C931" s="59" t="str">
        <f t="shared" si="3"/>
        <v/>
      </c>
      <c r="D931" s="46"/>
      <c r="E931" s="57" t="str">
        <f>IFERROR(__xludf.DUMMYFUNCTION("""COMPUTED_VALUE"""),"")</f>
        <v/>
      </c>
      <c r="F931" s="46" t="str">
        <f>IFERROR(__xludf.DUMMYFUNCTION("""COMPUTED_VALUE"""),"")</f>
        <v/>
      </c>
      <c r="G931" s="46"/>
      <c r="H931" s="46"/>
      <c r="I931" s="46"/>
      <c r="J931" s="46"/>
      <c r="K931" s="46"/>
      <c r="L931" s="46"/>
      <c r="M931" s="46"/>
      <c r="N931" s="46"/>
      <c r="O931" s="46"/>
      <c r="P931" s="46"/>
      <c r="Q931" s="46"/>
      <c r="R931" s="46"/>
      <c r="S931" s="46"/>
      <c r="T931" s="46"/>
      <c r="U931" s="46"/>
      <c r="V931" s="46"/>
      <c r="W931" s="46"/>
      <c r="X931" s="46"/>
      <c r="Y931" s="46"/>
      <c r="Z931" s="46"/>
      <c r="AA931" s="46"/>
    </row>
    <row r="932">
      <c r="A932" s="46"/>
      <c r="B932" s="46"/>
      <c r="C932" s="59" t="str">
        <f t="shared" si="3"/>
        <v/>
      </c>
      <c r="D932" s="46"/>
      <c r="E932" s="57" t="str">
        <f>IFERROR(__xludf.DUMMYFUNCTION("""COMPUTED_VALUE"""),"")</f>
        <v/>
      </c>
      <c r="F932" s="46" t="str">
        <f>IFERROR(__xludf.DUMMYFUNCTION("""COMPUTED_VALUE"""),"")</f>
        <v/>
      </c>
      <c r="G932" s="46"/>
      <c r="H932" s="46"/>
      <c r="I932" s="46"/>
      <c r="J932" s="46"/>
      <c r="K932" s="46"/>
      <c r="L932" s="46"/>
      <c r="M932" s="46"/>
      <c r="N932" s="46"/>
      <c r="O932" s="46"/>
      <c r="P932" s="46"/>
      <c r="Q932" s="46"/>
      <c r="R932" s="46"/>
      <c r="S932" s="46"/>
      <c r="T932" s="46"/>
      <c r="U932" s="46"/>
      <c r="V932" s="46"/>
      <c r="W932" s="46"/>
      <c r="X932" s="46"/>
      <c r="Y932" s="46"/>
      <c r="Z932" s="46"/>
      <c r="AA932" s="46"/>
    </row>
    <row r="933">
      <c r="A933" s="46"/>
      <c r="B933" s="46"/>
      <c r="C933" s="59" t="str">
        <f t="shared" si="3"/>
        <v/>
      </c>
      <c r="D933" s="46"/>
      <c r="E933" s="57" t="str">
        <f>IFERROR(__xludf.DUMMYFUNCTION("""COMPUTED_VALUE"""),"")</f>
        <v/>
      </c>
      <c r="F933" s="46" t="str">
        <f>IFERROR(__xludf.DUMMYFUNCTION("""COMPUTED_VALUE"""),"")</f>
        <v/>
      </c>
      <c r="G933" s="46"/>
      <c r="H933" s="46"/>
      <c r="I933" s="46"/>
      <c r="J933" s="46"/>
      <c r="K933" s="46"/>
      <c r="L933" s="46"/>
      <c r="M933" s="46"/>
      <c r="N933" s="46"/>
      <c r="O933" s="46"/>
      <c r="P933" s="46"/>
      <c r="Q933" s="46"/>
      <c r="R933" s="46"/>
      <c r="S933" s="46"/>
      <c r="T933" s="46"/>
      <c r="U933" s="46"/>
      <c r="V933" s="46"/>
      <c r="W933" s="46"/>
      <c r="X933" s="46"/>
      <c r="Y933" s="46"/>
      <c r="Z933" s="46"/>
      <c r="AA933" s="46"/>
    </row>
    <row r="934">
      <c r="A934" s="46"/>
      <c r="B934" s="46"/>
      <c r="C934" s="59" t="str">
        <f t="shared" si="3"/>
        <v/>
      </c>
      <c r="D934" s="46"/>
      <c r="E934" s="57" t="str">
        <f>IFERROR(__xludf.DUMMYFUNCTION("""COMPUTED_VALUE"""),"")</f>
        <v/>
      </c>
      <c r="F934" s="46" t="str">
        <f>IFERROR(__xludf.DUMMYFUNCTION("""COMPUTED_VALUE"""),"")</f>
        <v/>
      </c>
      <c r="G934" s="46"/>
      <c r="H934" s="46"/>
      <c r="I934" s="46"/>
      <c r="J934" s="46"/>
      <c r="K934" s="46"/>
      <c r="L934" s="46"/>
      <c r="M934" s="46"/>
      <c r="N934" s="46"/>
      <c r="O934" s="46"/>
      <c r="P934" s="46"/>
      <c r="Q934" s="46"/>
      <c r="R934" s="46"/>
      <c r="S934" s="46"/>
      <c r="T934" s="46"/>
      <c r="U934" s="46"/>
      <c r="V934" s="46"/>
      <c r="W934" s="46"/>
      <c r="X934" s="46"/>
      <c r="Y934" s="46"/>
      <c r="Z934" s="46"/>
      <c r="AA934" s="46"/>
    </row>
    <row r="935">
      <c r="A935" s="46"/>
      <c r="B935" s="46"/>
      <c r="C935" s="59" t="str">
        <f t="shared" si="3"/>
        <v/>
      </c>
      <c r="D935" s="46"/>
      <c r="E935" s="57" t="str">
        <f>IFERROR(__xludf.DUMMYFUNCTION("""COMPUTED_VALUE"""),"")</f>
        <v/>
      </c>
      <c r="F935" s="46" t="str">
        <f>IFERROR(__xludf.DUMMYFUNCTION("""COMPUTED_VALUE"""),"")</f>
        <v/>
      </c>
      <c r="G935" s="46"/>
      <c r="H935" s="46"/>
      <c r="I935" s="46"/>
      <c r="J935" s="46"/>
      <c r="K935" s="46"/>
      <c r="L935" s="46"/>
      <c r="M935" s="46"/>
      <c r="N935" s="46"/>
      <c r="O935" s="46"/>
      <c r="P935" s="46"/>
      <c r="Q935" s="46"/>
      <c r="R935" s="46"/>
      <c r="S935" s="46"/>
      <c r="T935" s="46"/>
      <c r="U935" s="46"/>
      <c r="V935" s="46"/>
      <c r="W935" s="46"/>
      <c r="X935" s="46"/>
      <c r="Y935" s="46"/>
      <c r="Z935" s="46"/>
      <c r="AA935" s="46"/>
    </row>
    <row r="936">
      <c r="A936" s="46"/>
      <c r="B936" s="46"/>
      <c r="C936" s="59" t="str">
        <f t="shared" si="3"/>
        <v/>
      </c>
      <c r="D936" s="46"/>
      <c r="E936" s="57" t="str">
        <f>IFERROR(__xludf.DUMMYFUNCTION("""COMPUTED_VALUE"""),"")</f>
        <v/>
      </c>
      <c r="F936" s="46" t="str">
        <f>IFERROR(__xludf.DUMMYFUNCTION("""COMPUTED_VALUE"""),"")</f>
        <v/>
      </c>
      <c r="G936" s="46"/>
      <c r="H936" s="46"/>
      <c r="I936" s="46"/>
      <c r="J936" s="46"/>
      <c r="K936" s="46"/>
      <c r="L936" s="46"/>
      <c r="M936" s="46"/>
      <c r="N936" s="46"/>
      <c r="O936" s="46"/>
      <c r="P936" s="46"/>
      <c r="Q936" s="46"/>
      <c r="R936" s="46"/>
      <c r="S936" s="46"/>
      <c r="T936" s="46"/>
      <c r="U936" s="46"/>
      <c r="V936" s="46"/>
      <c r="W936" s="46"/>
      <c r="X936" s="46"/>
      <c r="Y936" s="46"/>
      <c r="Z936" s="46"/>
      <c r="AA936" s="46"/>
    </row>
    <row r="937">
      <c r="A937" s="46"/>
      <c r="B937" s="46"/>
      <c r="C937" s="59" t="str">
        <f t="shared" si="3"/>
        <v/>
      </c>
      <c r="D937" s="46"/>
      <c r="E937" s="57" t="str">
        <f>IFERROR(__xludf.DUMMYFUNCTION("""COMPUTED_VALUE"""),"")</f>
        <v/>
      </c>
      <c r="F937" s="46" t="str">
        <f>IFERROR(__xludf.DUMMYFUNCTION("""COMPUTED_VALUE"""),"")</f>
        <v/>
      </c>
      <c r="G937" s="46"/>
      <c r="H937" s="46"/>
      <c r="I937" s="46"/>
      <c r="J937" s="46"/>
      <c r="K937" s="46"/>
      <c r="L937" s="46"/>
      <c r="M937" s="46"/>
      <c r="N937" s="46"/>
      <c r="O937" s="46"/>
      <c r="P937" s="46"/>
      <c r="Q937" s="46"/>
      <c r="R937" s="46"/>
      <c r="S937" s="46"/>
      <c r="T937" s="46"/>
      <c r="U937" s="46"/>
      <c r="V937" s="46"/>
      <c r="W937" s="46"/>
      <c r="X937" s="46"/>
      <c r="Y937" s="46"/>
      <c r="Z937" s="46"/>
      <c r="AA937" s="46"/>
    </row>
    <row r="938">
      <c r="A938" s="46"/>
      <c r="B938" s="46"/>
      <c r="C938" s="59" t="str">
        <f t="shared" si="3"/>
        <v/>
      </c>
      <c r="D938" s="46"/>
      <c r="E938" s="57" t="str">
        <f>IFERROR(__xludf.DUMMYFUNCTION("""COMPUTED_VALUE"""),"")</f>
        <v/>
      </c>
      <c r="F938" s="46" t="str">
        <f>IFERROR(__xludf.DUMMYFUNCTION("""COMPUTED_VALUE"""),"")</f>
        <v/>
      </c>
      <c r="G938" s="46"/>
      <c r="H938" s="46"/>
      <c r="I938" s="46"/>
      <c r="J938" s="46"/>
      <c r="K938" s="46"/>
      <c r="L938" s="46"/>
      <c r="M938" s="46"/>
      <c r="N938" s="46"/>
      <c r="O938" s="46"/>
      <c r="P938" s="46"/>
      <c r="Q938" s="46"/>
      <c r="R938" s="46"/>
      <c r="S938" s="46"/>
      <c r="T938" s="46"/>
      <c r="U938" s="46"/>
      <c r="V938" s="46"/>
      <c r="W938" s="46"/>
      <c r="X938" s="46"/>
      <c r="Y938" s="46"/>
      <c r="Z938" s="46"/>
      <c r="AA938" s="46"/>
    </row>
    <row r="939">
      <c r="A939" s="46"/>
      <c r="B939" s="46"/>
      <c r="C939" s="59" t="str">
        <f t="shared" si="3"/>
        <v/>
      </c>
      <c r="D939" s="46"/>
      <c r="E939" s="57" t="str">
        <f>IFERROR(__xludf.DUMMYFUNCTION("""COMPUTED_VALUE"""),"")</f>
        <v/>
      </c>
      <c r="F939" s="46" t="str">
        <f>IFERROR(__xludf.DUMMYFUNCTION("""COMPUTED_VALUE"""),"")</f>
        <v/>
      </c>
      <c r="G939" s="46"/>
      <c r="H939" s="46"/>
      <c r="I939" s="46"/>
      <c r="J939" s="46"/>
      <c r="K939" s="46"/>
      <c r="L939" s="46"/>
      <c r="M939" s="46"/>
      <c r="N939" s="46"/>
      <c r="O939" s="46"/>
      <c r="P939" s="46"/>
      <c r="Q939" s="46"/>
      <c r="R939" s="46"/>
      <c r="S939" s="46"/>
      <c r="T939" s="46"/>
      <c r="U939" s="46"/>
      <c r="V939" s="46"/>
      <c r="W939" s="46"/>
      <c r="X939" s="46"/>
      <c r="Y939" s="46"/>
      <c r="Z939" s="46"/>
      <c r="AA939" s="46"/>
    </row>
    <row r="940">
      <c r="A940" s="46"/>
      <c r="B940" s="46"/>
      <c r="C940" s="59" t="str">
        <f t="shared" si="3"/>
        <v/>
      </c>
      <c r="D940" s="46"/>
      <c r="E940" s="57" t="str">
        <f>IFERROR(__xludf.DUMMYFUNCTION("""COMPUTED_VALUE"""),"")</f>
        <v/>
      </c>
      <c r="F940" s="46" t="str">
        <f>IFERROR(__xludf.DUMMYFUNCTION("""COMPUTED_VALUE"""),"")</f>
        <v/>
      </c>
      <c r="G940" s="46"/>
      <c r="H940" s="46"/>
      <c r="I940" s="46"/>
      <c r="J940" s="46"/>
      <c r="K940" s="46"/>
      <c r="L940" s="46"/>
      <c r="M940" s="46"/>
      <c r="N940" s="46"/>
      <c r="O940" s="46"/>
      <c r="P940" s="46"/>
      <c r="Q940" s="46"/>
      <c r="R940" s="46"/>
      <c r="S940" s="46"/>
      <c r="T940" s="46"/>
      <c r="U940" s="46"/>
      <c r="V940" s="46"/>
      <c r="W940" s="46"/>
      <c r="X940" s="46"/>
      <c r="Y940" s="46"/>
      <c r="Z940" s="46"/>
      <c r="AA940" s="46"/>
    </row>
    <row r="941">
      <c r="A941" s="46"/>
      <c r="B941" s="46"/>
      <c r="C941" s="59" t="str">
        <f t="shared" si="3"/>
        <v/>
      </c>
      <c r="D941" s="46"/>
      <c r="E941" s="57" t="str">
        <f>IFERROR(__xludf.DUMMYFUNCTION("""COMPUTED_VALUE"""),"")</f>
        <v/>
      </c>
      <c r="F941" s="46" t="str">
        <f>IFERROR(__xludf.DUMMYFUNCTION("""COMPUTED_VALUE"""),"")</f>
        <v/>
      </c>
      <c r="G941" s="46"/>
      <c r="H941" s="46"/>
      <c r="I941" s="46"/>
      <c r="J941" s="46"/>
      <c r="K941" s="46"/>
      <c r="L941" s="46"/>
      <c r="M941" s="46"/>
      <c r="N941" s="46"/>
      <c r="O941" s="46"/>
      <c r="P941" s="46"/>
      <c r="Q941" s="46"/>
      <c r="R941" s="46"/>
      <c r="S941" s="46"/>
      <c r="T941" s="46"/>
      <c r="U941" s="46"/>
      <c r="V941" s="46"/>
      <c r="W941" s="46"/>
      <c r="X941" s="46"/>
      <c r="Y941" s="46"/>
      <c r="Z941" s="46"/>
      <c r="AA941" s="46"/>
    </row>
    <row r="942">
      <c r="A942" s="46"/>
      <c r="B942" s="46"/>
      <c r="C942" s="59" t="str">
        <f t="shared" si="3"/>
        <v/>
      </c>
      <c r="D942" s="46"/>
      <c r="E942" s="57" t="str">
        <f>IFERROR(__xludf.DUMMYFUNCTION("""COMPUTED_VALUE"""),"")</f>
        <v/>
      </c>
      <c r="F942" s="46" t="str">
        <f>IFERROR(__xludf.DUMMYFUNCTION("""COMPUTED_VALUE"""),"")</f>
        <v/>
      </c>
      <c r="G942" s="46"/>
      <c r="H942" s="46"/>
      <c r="I942" s="46"/>
      <c r="J942" s="46"/>
      <c r="K942" s="46"/>
      <c r="L942" s="46"/>
      <c r="M942" s="46"/>
      <c r="N942" s="46"/>
      <c r="O942" s="46"/>
      <c r="P942" s="46"/>
      <c r="Q942" s="46"/>
      <c r="R942" s="46"/>
      <c r="S942" s="46"/>
      <c r="T942" s="46"/>
      <c r="U942" s="46"/>
      <c r="V942" s="46"/>
      <c r="W942" s="46"/>
      <c r="X942" s="46"/>
      <c r="Y942" s="46"/>
      <c r="Z942" s="46"/>
      <c r="AA942" s="46"/>
    </row>
    <row r="943">
      <c r="A943" s="46"/>
      <c r="B943" s="46"/>
      <c r="C943" s="59" t="str">
        <f t="shared" si="3"/>
        <v/>
      </c>
      <c r="D943" s="46"/>
      <c r="E943" s="57" t="str">
        <f>IFERROR(__xludf.DUMMYFUNCTION("""COMPUTED_VALUE"""),"")</f>
        <v/>
      </c>
      <c r="F943" s="46" t="str">
        <f>IFERROR(__xludf.DUMMYFUNCTION("""COMPUTED_VALUE"""),"")</f>
        <v/>
      </c>
      <c r="G943" s="46"/>
      <c r="H943" s="46"/>
      <c r="I943" s="46"/>
      <c r="J943" s="46"/>
      <c r="K943" s="46"/>
      <c r="L943" s="46"/>
      <c r="M943" s="46"/>
      <c r="N943" s="46"/>
      <c r="O943" s="46"/>
      <c r="P943" s="46"/>
      <c r="Q943" s="46"/>
      <c r="R943" s="46"/>
      <c r="S943" s="46"/>
      <c r="T943" s="46"/>
      <c r="U943" s="46"/>
      <c r="V943" s="46"/>
      <c r="W943" s="46"/>
      <c r="X943" s="46"/>
      <c r="Y943" s="46"/>
      <c r="Z943" s="46"/>
      <c r="AA943" s="46"/>
    </row>
    <row r="944">
      <c r="A944" s="46"/>
      <c r="B944" s="46"/>
      <c r="C944" s="59" t="str">
        <f t="shared" si="3"/>
        <v/>
      </c>
      <c r="D944" s="46"/>
      <c r="E944" s="57" t="str">
        <f>IFERROR(__xludf.DUMMYFUNCTION("""COMPUTED_VALUE"""),"")</f>
        <v/>
      </c>
      <c r="F944" s="46" t="str">
        <f>IFERROR(__xludf.DUMMYFUNCTION("""COMPUTED_VALUE"""),"")</f>
        <v/>
      </c>
      <c r="G944" s="46"/>
      <c r="H944" s="46"/>
      <c r="I944" s="46"/>
      <c r="J944" s="46"/>
      <c r="K944" s="46"/>
      <c r="L944" s="46"/>
      <c r="M944" s="46"/>
      <c r="N944" s="46"/>
      <c r="O944" s="46"/>
      <c r="P944" s="46"/>
      <c r="Q944" s="46"/>
      <c r="R944" s="46"/>
      <c r="S944" s="46"/>
      <c r="T944" s="46"/>
      <c r="U944" s="46"/>
      <c r="V944" s="46"/>
      <c r="W944" s="46"/>
      <c r="X944" s="46"/>
      <c r="Y944" s="46"/>
      <c r="Z944" s="46"/>
      <c r="AA944" s="46"/>
    </row>
    <row r="945">
      <c r="A945" s="46"/>
      <c r="B945" s="46"/>
      <c r="C945" s="59" t="str">
        <f t="shared" si="3"/>
        <v/>
      </c>
      <c r="D945" s="46"/>
      <c r="E945" s="57" t="str">
        <f>IFERROR(__xludf.DUMMYFUNCTION("""COMPUTED_VALUE"""),"")</f>
        <v/>
      </c>
      <c r="F945" s="46" t="str">
        <f>IFERROR(__xludf.DUMMYFUNCTION("""COMPUTED_VALUE"""),"")</f>
        <v/>
      </c>
      <c r="G945" s="46"/>
      <c r="H945" s="46"/>
      <c r="I945" s="46"/>
      <c r="J945" s="46"/>
      <c r="K945" s="46"/>
      <c r="L945" s="46"/>
      <c r="M945" s="46"/>
      <c r="N945" s="46"/>
      <c r="O945" s="46"/>
      <c r="P945" s="46"/>
      <c r="Q945" s="46"/>
      <c r="R945" s="46"/>
      <c r="S945" s="46"/>
      <c r="T945" s="46"/>
      <c r="U945" s="46"/>
      <c r="V945" s="46"/>
      <c r="W945" s="46"/>
      <c r="X945" s="46"/>
      <c r="Y945" s="46"/>
      <c r="Z945" s="46"/>
      <c r="AA945" s="46"/>
    </row>
    <row r="946">
      <c r="A946" s="46"/>
      <c r="B946" s="46"/>
      <c r="C946" s="59" t="str">
        <f t="shared" si="3"/>
        <v/>
      </c>
      <c r="D946" s="46"/>
      <c r="E946" s="57" t="str">
        <f>IFERROR(__xludf.DUMMYFUNCTION("""COMPUTED_VALUE"""),"")</f>
        <v/>
      </c>
      <c r="F946" s="46" t="str">
        <f>IFERROR(__xludf.DUMMYFUNCTION("""COMPUTED_VALUE"""),"")</f>
        <v/>
      </c>
      <c r="G946" s="46"/>
      <c r="H946" s="46"/>
      <c r="I946" s="46"/>
      <c r="J946" s="46"/>
      <c r="K946" s="46"/>
      <c r="L946" s="46"/>
      <c r="M946" s="46"/>
      <c r="N946" s="46"/>
      <c r="O946" s="46"/>
      <c r="P946" s="46"/>
      <c r="Q946" s="46"/>
      <c r="R946" s="46"/>
      <c r="S946" s="46"/>
      <c r="T946" s="46"/>
      <c r="U946" s="46"/>
      <c r="V946" s="46"/>
      <c r="W946" s="46"/>
      <c r="X946" s="46"/>
      <c r="Y946" s="46"/>
      <c r="Z946" s="46"/>
      <c r="AA946" s="46"/>
    </row>
    <row r="947">
      <c r="A947" s="46"/>
      <c r="B947" s="46"/>
      <c r="C947" s="59" t="str">
        <f t="shared" si="3"/>
        <v/>
      </c>
      <c r="D947" s="46"/>
      <c r="E947" s="57" t="str">
        <f>IFERROR(__xludf.DUMMYFUNCTION("""COMPUTED_VALUE"""),"")</f>
        <v/>
      </c>
      <c r="F947" s="46" t="str">
        <f>IFERROR(__xludf.DUMMYFUNCTION("""COMPUTED_VALUE"""),"")</f>
        <v/>
      </c>
      <c r="G947" s="46"/>
      <c r="H947" s="46"/>
      <c r="I947" s="46"/>
      <c r="J947" s="46"/>
      <c r="K947" s="46"/>
      <c r="L947" s="46"/>
      <c r="M947" s="46"/>
      <c r="N947" s="46"/>
      <c r="O947" s="46"/>
      <c r="P947" s="46"/>
      <c r="Q947" s="46"/>
      <c r="R947" s="46"/>
      <c r="S947" s="46"/>
      <c r="T947" s="46"/>
      <c r="U947" s="46"/>
      <c r="V947" s="46"/>
      <c r="W947" s="46"/>
      <c r="X947" s="46"/>
      <c r="Y947" s="46"/>
      <c r="Z947" s="46"/>
      <c r="AA947" s="46"/>
    </row>
    <row r="948">
      <c r="A948" s="46"/>
      <c r="B948" s="46"/>
      <c r="C948" s="59" t="str">
        <f t="shared" si="3"/>
        <v/>
      </c>
      <c r="D948" s="46"/>
      <c r="E948" s="57" t="str">
        <f>IFERROR(__xludf.DUMMYFUNCTION("""COMPUTED_VALUE"""),"")</f>
        <v/>
      </c>
      <c r="F948" s="46" t="str">
        <f>IFERROR(__xludf.DUMMYFUNCTION("""COMPUTED_VALUE"""),"")</f>
        <v/>
      </c>
      <c r="G948" s="46"/>
      <c r="H948" s="46"/>
      <c r="I948" s="46"/>
      <c r="J948" s="46"/>
      <c r="K948" s="46"/>
      <c r="L948" s="46"/>
      <c r="M948" s="46"/>
      <c r="N948" s="46"/>
      <c r="O948" s="46"/>
      <c r="P948" s="46"/>
      <c r="Q948" s="46"/>
      <c r="R948" s="46"/>
      <c r="S948" s="46"/>
      <c r="T948" s="46"/>
      <c r="U948" s="46"/>
      <c r="V948" s="46"/>
      <c r="W948" s="46"/>
      <c r="X948" s="46"/>
      <c r="Y948" s="46"/>
      <c r="Z948" s="46"/>
      <c r="AA948" s="46"/>
    </row>
    <row r="949">
      <c r="A949" s="46"/>
      <c r="B949" s="46"/>
      <c r="C949" s="59" t="str">
        <f t="shared" si="3"/>
        <v/>
      </c>
      <c r="D949" s="46"/>
      <c r="E949" s="57" t="str">
        <f>IFERROR(__xludf.DUMMYFUNCTION("""COMPUTED_VALUE"""),"")</f>
        <v/>
      </c>
      <c r="F949" s="46" t="str">
        <f>IFERROR(__xludf.DUMMYFUNCTION("""COMPUTED_VALUE"""),"")</f>
        <v/>
      </c>
      <c r="G949" s="46"/>
      <c r="H949" s="46"/>
      <c r="I949" s="46"/>
      <c r="J949" s="46"/>
      <c r="K949" s="46"/>
      <c r="L949" s="46"/>
      <c r="M949" s="46"/>
      <c r="N949" s="46"/>
      <c r="O949" s="46"/>
      <c r="P949" s="46"/>
      <c r="Q949" s="46"/>
      <c r="R949" s="46"/>
      <c r="S949" s="46"/>
      <c r="T949" s="46"/>
      <c r="U949" s="46"/>
      <c r="V949" s="46"/>
      <c r="W949" s="46"/>
      <c r="X949" s="46"/>
      <c r="Y949" s="46"/>
      <c r="Z949" s="46"/>
      <c r="AA949" s="46"/>
    </row>
    <row r="950">
      <c r="A950" s="46"/>
      <c r="B950" s="46"/>
      <c r="C950" s="59" t="str">
        <f t="shared" si="3"/>
        <v/>
      </c>
      <c r="D950" s="46"/>
      <c r="E950" s="57" t="str">
        <f>IFERROR(__xludf.DUMMYFUNCTION("""COMPUTED_VALUE"""),"")</f>
        <v/>
      </c>
      <c r="F950" s="46" t="str">
        <f>IFERROR(__xludf.DUMMYFUNCTION("""COMPUTED_VALUE"""),"")</f>
        <v/>
      </c>
      <c r="G950" s="46"/>
      <c r="H950" s="46"/>
      <c r="I950" s="46"/>
      <c r="J950" s="46"/>
      <c r="K950" s="46"/>
      <c r="L950" s="46"/>
      <c r="M950" s="46"/>
      <c r="N950" s="46"/>
      <c r="O950" s="46"/>
      <c r="P950" s="46"/>
      <c r="Q950" s="46"/>
      <c r="R950" s="46"/>
      <c r="S950" s="46"/>
      <c r="T950" s="46"/>
      <c r="U950" s="46"/>
      <c r="V950" s="46"/>
      <c r="W950" s="46"/>
      <c r="X950" s="46"/>
      <c r="Y950" s="46"/>
      <c r="Z950" s="46"/>
      <c r="AA950" s="46"/>
    </row>
    <row r="951">
      <c r="A951" s="46"/>
      <c r="B951" s="46"/>
      <c r="C951" s="59" t="str">
        <f t="shared" si="3"/>
        <v/>
      </c>
      <c r="D951" s="46"/>
      <c r="E951" s="57" t="str">
        <f>IFERROR(__xludf.DUMMYFUNCTION("""COMPUTED_VALUE"""),"")</f>
        <v/>
      </c>
      <c r="F951" s="46" t="str">
        <f>IFERROR(__xludf.DUMMYFUNCTION("""COMPUTED_VALUE"""),"")</f>
        <v/>
      </c>
      <c r="G951" s="46"/>
      <c r="H951" s="46"/>
      <c r="I951" s="46"/>
      <c r="J951" s="46"/>
      <c r="K951" s="46"/>
      <c r="L951" s="46"/>
      <c r="M951" s="46"/>
      <c r="N951" s="46"/>
      <c r="O951" s="46"/>
      <c r="P951" s="46"/>
      <c r="Q951" s="46"/>
      <c r="R951" s="46"/>
      <c r="S951" s="46"/>
      <c r="T951" s="46"/>
      <c r="U951" s="46"/>
      <c r="V951" s="46"/>
      <c r="W951" s="46"/>
      <c r="X951" s="46"/>
      <c r="Y951" s="46"/>
      <c r="Z951" s="46"/>
      <c r="AA951" s="46"/>
    </row>
    <row r="952">
      <c r="A952" s="46"/>
      <c r="B952" s="46"/>
      <c r="C952" s="59" t="str">
        <f t="shared" si="3"/>
        <v/>
      </c>
      <c r="D952" s="46"/>
      <c r="E952" s="57" t="str">
        <f>IFERROR(__xludf.DUMMYFUNCTION("""COMPUTED_VALUE"""),"")</f>
        <v/>
      </c>
      <c r="F952" s="46" t="str">
        <f>IFERROR(__xludf.DUMMYFUNCTION("""COMPUTED_VALUE"""),"")</f>
        <v/>
      </c>
      <c r="G952" s="46"/>
      <c r="H952" s="46"/>
      <c r="I952" s="46"/>
      <c r="J952" s="46"/>
      <c r="K952" s="46"/>
      <c r="L952" s="46"/>
      <c r="M952" s="46"/>
      <c r="N952" s="46"/>
      <c r="O952" s="46"/>
      <c r="P952" s="46"/>
      <c r="Q952" s="46"/>
      <c r="R952" s="46"/>
      <c r="S952" s="46"/>
      <c r="T952" s="46"/>
      <c r="U952" s="46"/>
      <c r="V952" s="46"/>
      <c r="W952" s="46"/>
      <c r="X952" s="46"/>
      <c r="Y952" s="46"/>
      <c r="Z952" s="46"/>
      <c r="AA952" s="46"/>
    </row>
    <row r="953">
      <c r="A953" s="46"/>
      <c r="B953" s="46"/>
      <c r="C953" s="59" t="str">
        <f t="shared" si="3"/>
        <v/>
      </c>
      <c r="D953" s="46"/>
      <c r="E953" s="57" t="str">
        <f>IFERROR(__xludf.DUMMYFUNCTION("""COMPUTED_VALUE"""),"")</f>
        <v/>
      </c>
      <c r="F953" s="46" t="str">
        <f>IFERROR(__xludf.DUMMYFUNCTION("""COMPUTED_VALUE"""),"")</f>
        <v/>
      </c>
      <c r="G953" s="46"/>
      <c r="H953" s="46"/>
      <c r="I953" s="46"/>
      <c r="J953" s="46"/>
      <c r="K953" s="46"/>
      <c r="L953" s="46"/>
      <c r="M953" s="46"/>
      <c r="N953" s="46"/>
      <c r="O953" s="46"/>
      <c r="P953" s="46"/>
      <c r="Q953" s="46"/>
      <c r="R953" s="46"/>
      <c r="S953" s="46"/>
      <c r="T953" s="46"/>
      <c r="U953" s="46"/>
      <c r="V953" s="46"/>
      <c r="W953" s="46"/>
      <c r="X953" s="46"/>
      <c r="Y953" s="46"/>
      <c r="Z953" s="46"/>
      <c r="AA953" s="46"/>
    </row>
    <row r="954">
      <c r="A954" s="46"/>
      <c r="B954" s="46"/>
      <c r="C954" s="59" t="str">
        <f t="shared" si="3"/>
        <v/>
      </c>
      <c r="D954" s="46"/>
      <c r="E954" s="57" t="str">
        <f>IFERROR(__xludf.DUMMYFUNCTION("""COMPUTED_VALUE"""),"")</f>
        <v/>
      </c>
      <c r="F954" s="46" t="str">
        <f>IFERROR(__xludf.DUMMYFUNCTION("""COMPUTED_VALUE"""),"")</f>
        <v/>
      </c>
      <c r="G954" s="46"/>
      <c r="H954" s="46"/>
      <c r="I954" s="46"/>
      <c r="J954" s="46"/>
      <c r="K954" s="46"/>
      <c r="L954" s="46"/>
      <c r="M954" s="46"/>
      <c r="N954" s="46"/>
      <c r="O954" s="46"/>
      <c r="P954" s="46"/>
      <c r="Q954" s="46"/>
      <c r="R954" s="46"/>
      <c r="S954" s="46"/>
      <c r="T954" s="46"/>
      <c r="U954" s="46"/>
      <c r="V954" s="46"/>
      <c r="W954" s="46"/>
      <c r="X954" s="46"/>
      <c r="Y954" s="46"/>
      <c r="Z954" s="46"/>
      <c r="AA954" s="46"/>
    </row>
    <row r="955">
      <c r="A955" s="46"/>
      <c r="B955" s="46"/>
      <c r="C955" s="59" t="str">
        <f t="shared" si="3"/>
        <v/>
      </c>
      <c r="D955" s="46"/>
      <c r="E955" s="57" t="str">
        <f>IFERROR(__xludf.DUMMYFUNCTION("""COMPUTED_VALUE"""),"")</f>
        <v/>
      </c>
      <c r="F955" s="46" t="str">
        <f>IFERROR(__xludf.DUMMYFUNCTION("""COMPUTED_VALUE"""),"")</f>
        <v/>
      </c>
      <c r="G955" s="46"/>
      <c r="H955" s="46"/>
      <c r="I955" s="46"/>
      <c r="J955" s="46"/>
      <c r="K955" s="46"/>
      <c r="L955" s="46"/>
      <c r="M955" s="46"/>
      <c r="N955" s="46"/>
      <c r="O955" s="46"/>
      <c r="P955" s="46"/>
      <c r="Q955" s="46"/>
      <c r="R955" s="46"/>
      <c r="S955" s="46"/>
      <c r="T955" s="46"/>
      <c r="U955" s="46"/>
      <c r="V955" s="46"/>
      <c r="W955" s="46"/>
      <c r="X955" s="46"/>
      <c r="Y955" s="46"/>
      <c r="Z955" s="46"/>
      <c r="AA955" s="46"/>
    </row>
    <row r="956">
      <c r="A956" s="46"/>
      <c r="B956" s="46"/>
      <c r="C956" s="59" t="str">
        <f t="shared" si="3"/>
        <v/>
      </c>
      <c r="D956" s="46"/>
      <c r="E956" s="57" t="str">
        <f>IFERROR(__xludf.DUMMYFUNCTION("""COMPUTED_VALUE"""),"")</f>
        <v/>
      </c>
      <c r="F956" s="46" t="str">
        <f>IFERROR(__xludf.DUMMYFUNCTION("""COMPUTED_VALUE"""),"")</f>
        <v/>
      </c>
      <c r="G956" s="46"/>
      <c r="H956" s="46"/>
      <c r="I956" s="46"/>
      <c r="J956" s="46"/>
      <c r="K956" s="46"/>
      <c r="L956" s="46"/>
      <c r="M956" s="46"/>
      <c r="N956" s="46"/>
      <c r="O956" s="46"/>
      <c r="P956" s="46"/>
      <c r="Q956" s="46"/>
      <c r="R956" s="46"/>
      <c r="S956" s="46"/>
      <c r="T956" s="46"/>
      <c r="U956" s="46"/>
      <c r="V956" s="46"/>
      <c r="W956" s="46"/>
      <c r="X956" s="46"/>
      <c r="Y956" s="46"/>
      <c r="Z956" s="46"/>
      <c r="AA956" s="46"/>
    </row>
    <row r="957">
      <c r="A957" s="46"/>
      <c r="B957" s="46"/>
      <c r="C957" s="59" t="str">
        <f t="shared" si="3"/>
        <v/>
      </c>
      <c r="D957" s="46"/>
      <c r="E957" s="57" t="str">
        <f>IFERROR(__xludf.DUMMYFUNCTION("""COMPUTED_VALUE"""),"")</f>
        <v/>
      </c>
      <c r="F957" s="46" t="str">
        <f>IFERROR(__xludf.DUMMYFUNCTION("""COMPUTED_VALUE"""),"")</f>
        <v/>
      </c>
      <c r="G957" s="46"/>
      <c r="H957" s="46"/>
      <c r="I957" s="46"/>
      <c r="J957" s="46"/>
      <c r="K957" s="46"/>
      <c r="L957" s="46"/>
      <c r="M957" s="46"/>
      <c r="N957" s="46"/>
      <c r="O957" s="46"/>
      <c r="P957" s="46"/>
      <c r="Q957" s="46"/>
      <c r="R957" s="46"/>
      <c r="S957" s="46"/>
      <c r="T957" s="46"/>
      <c r="U957" s="46"/>
      <c r="V957" s="46"/>
      <c r="W957" s="46"/>
      <c r="X957" s="46"/>
      <c r="Y957" s="46"/>
      <c r="Z957" s="46"/>
      <c r="AA957" s="46"/>
    </row>
    <row r="958">
      <c r="A958" s="46"/>
      <c r="B958" s="46"/>
      <c r="C958" s="59" t="str">
        <f t="shared" si="3"/>
        <v/>
      </c>
      <c r="D958" s="46"/>
      <c r="E958" s="57" t="str">
        <f>IFERROR(__xludf.DUMMYFUNCTION("""COMPUTED_VALUE"""),"")</f>
        <v/>
      </c>
      <c r="F958" s="46" t="str">
        <f>IFERROR(__xludf.DUMMYFUNCTION("""COMPUTED_VALUE"""),"")</f>
        <v/>
      </c>
      <c r="G958" s="46"/>
      <c r="H958" s="46"/>
      <c r="I958" s="46"/>
      <c r="J958" s="46"/>
      <c r="K958" s="46"/>
      <c r="L958" s="46"/>
      <c r="M958" s="46"/>
      <c r="N958" s="46"/>
      <c r="O958" s="46"/>
      <c r="P958" s="46"/>
      <c r="Q958" s="46"/>
      <c r="R958" s="46"/>
      <c r="S958" s="46"/>
      <c r="T958" s="46"/>
      <c r="U958" s="46"/>
      <c r="V958" s="46"/>
      <c r="W958" s="46"/>
      <c r="X958" s="46"/>
      <c r="Y958" s="46"/>
      <c r="Z958" s="46"/>
      <c r="AA958" s="46"/>
    </row>
    <row r="959">
      <c r="A959" s="46"/>
      <c r="B959" s="46"/>
      <c r="C959" s="59" t="str">
        <f t="shared" si="3"/>
        <v/>
      </c>
      <c r="D959" s="46"/>
      <c r="E959" s="57" t="str">
        <f>IFERROR(__xludf.DUMMYFUNCTION("""COMPUTED_VALUE"""),"")</f>
        <v/>
      </c>
      <c r="F959" s="46" t="str">
        <f>IFERROR(__xludf.DUMMYFUNCTION("""COMPUTED_VALUE"""),"")</f>
        <v/>
      </c>
      <c r="G959" s="46"/>
      <c r="H959" s="46"/>
      <c r="I959" s="46"/>
      <c r="J959" s="46"/>
      <c r="K959" s="46"/>
      <c r="L959" s="46"/>
      <c r="M959" s="46"/>
      <c r="N959" s="46"/>
      <c r="O959" s="46"/>
      <c r="P959" s="46"/>
      <c r="Q959" s="46"/>
      <c r="R959" s="46"/>
      <c r="S959" s="46"/>
      <c r="T959" s="46"/>
      <c r="U959" s="46"/>
      <c r="V959" s="46"/>
      <c r="W959" s="46"/>
      <c r="X959" s="46"/>
      <c r="Y959" s="46"/>
      <c r="Z959" s="46"/>
      <c r="AA959" s="46"/>
    </row>
    <row r="960">
      <c r="A960" s="46"/>
      <c r="B960" s="46"/>
      <c r="C960" s="59" t="str">
        <f t="shared" si="3"/>
        <v/>
      </c>
      <c r="D960" s="46"/>
      <c r="E960" s="57" t="str">
        <f>IFERROR(__xludf.DUMMYFUNCTION("""COMPUTED_VALUE"""),"")</f>
        <v/>
      </c>
      <c r="F960" s="46" t="str">
        <f>IFERROR(__xludf.DUMMYFUNCTION("""COMPUTED_VALUE"""),"")</f>
        <v/>
      </c>
      <c r="G960" s="46"/>
      <c r="H960" s="46"/>
      <c r="I960" s="46"/>
      <c r="J960" s="46"/>
      <c r="K960" s="46"/>
      <c r="L960" s="46"/>
      <c r="M960" s="46"/>
      <c r="N960" s="46"/>
      <c r="O960" s="46"/>
      <c r="P960" s="46"/>
      <c r="Q960" s="46"/>
      <c r="R960" s="46"/>
      <c r="S960" s="46"/>
      <c r="T960" s="46"/>
      <c r="U960" s="46"/>
      <c r="V960" s="46"/>
      <c r="W960" s="46"/>
      <c r="X960" s="46"/>
      <c r="Y960" s="46"/>
      <c r="Z960" s="46"/>
      <c r="AA960" s="46"/>
    </row>
    <row r="961">
      <c r="A961" s="46"/>
      <c r="B961" s="46"/>
      <c r="C961" s="59" t="str">
        <f t="shared" si="3"/>
        <v/>
      </c>
      <c r="D961" s="46"/>
      <c r="E961" s="57" t="str">
        <f>IFERROR(__xludf.DUMMYFUNCTION("""COMPUTED_VALUE"""),"")</f>
        <v/>
      </c>
      <c r="F961" s="46" t="str">
        <f>IFERROR(__xludf.DUMMYFUNCTION("""COMPUTED_VALUE"""),"")</f>
        <v/>
      </c>
      <c r="G961" s="46"/>
      <c r="H961" s="46"/>
      <c r="I961" s="46"/>
      <c r="J961" s="46"/>
      <c r="K961" s="46"/>
      <c r="L961" s="46"/>
      <c r="M961" s="46"/>
      <c r="N961" s="46"/>
      <c r="O961" s="46"/>
      <c r="P961" s="46"/>
      <c r="Q961" s="46"/>
      <c r="R961" s="46"/>
      <c r="S961" s="46"/>
      <c r="T961" s="46"/>
      <c r="U961" s="46"/>
      <c r="V961" s="46"/>
      <c r="W961" s="46"/>
      <c r="X961" s="46"/>
      <c r="Y961" s="46"/>
      <c r="Z961" s="46"/>
      <c r="AA961" s="46"/>
    </row>
    <row r="962">
      <c r="A962" s="46"/>
      <c r="B962" s="46"/>
      <c r="C962" s="59" t="str">
        <f t="shared" si="3"/>
        <v/>
      </c>
      <c r="D962" s="46"/>
      <c r="E962" s="57" t="str">
        <f>IFERROR(__xludf.DUMMYFUNCTION("""COMPUTED_VALUE"""),"")</f>
        <v/>
      </c>
      <c r="F962" s="46" t="str">
        <f>IFERROR(__xludf.DUMMYFUNCTION("""COMPUTED_VALUE"""),"")</f>
        <v/>
      </c>
      <c r="G962" s="46"/>
      <c r="H962" s="46"/>
      <c r="I962" s="46"/>
      <c r="J962" s="46"/>
      <c r="K962" s="46"/>
      <c r="L962" s="46"/>
      <c r="M962" s="46"/>
      <c r="N962" s="46"/>
      <c r="O962" s="46"/>
      <c r="P962" s="46"/>
      <c r="Q962" s="46"/>
      <c r="R962" s="46"/>
      <c r="S962" s="46"/>
      <c r="T962" s="46"/>
      <c r="U962" s="46"/>
      <c r="V962" s="46"/>
      <c r="W962" s="46"/>
      <c r="X962" s="46"/>
      <c r="Y962" s="46"/>
      <c r="Z962" s="46"/>
      <c r="AA962" s="46"/>
    </row>
    <row r="963">
      <c r="A963" s="46"/>
      <c r="B963" s="46"/>
      <c r="C963" s="59" t="str">
        <f t="shared" si="3"/>
        <v/>
      </c>
      <c r="D963" s="46"/>
      <c r="E963" s="57" t="str">
        <f>IFERROR(__xludf.DUMMYFUNCTION("""COMPUTED_VALUE"""),"")</f>
        <v/>
      </c>
      <c r="F963" s="46" t="str">
        <f>IFERROR(__xludf.DUMMYFUNCTION("""COMPUTED_VALUE"""),"")</f>
        <v/>
      </c>
      <c r="G963" s="46"/>
      <c r="H963" s="46"/>
      <c r="I963" s="46"/>
      <c r="J963" s="46"/>
      <c r="K963" s="46"/>
      <c r="L963" s="46"/>
      <c r="M963" s="46"/>
      <c r="N963" s="46"/>
      <c r="O963" s="46"/>
      <c r="P963" s="46"/>
      <c r="Q963" s="46"/>
      <c r="R963" s="46"/>
      <c r="S963" s="46"/>
      <c r="T963" s="46"/>
      <c r="U963" s="46"/>
      <c r="V963" s="46"/>
      <c r="W963" s="46"/>
      <c r="X963" s="46"/>
      <c r="Y963" s="46"/>
      <c r="Z963" s="46"/>
      <c r="AA963" s="46"/>
    </row>
    <row r="964">
      <c r="A964" s="46"/>
      <c r="B964" s="46"/>
      <c r="C964" s="59" t="str">
        <f t="shared" si="3"/>
        <v/>
      </c>
      <c r="D964" s="46"/>
      <c r="E964" s="57" t="str">
        <f>IFERROR(__xludf.DUMMYFUNCTION("""COMPUTED_VALUE"""),"")</f>
        <v/>
      </c>
      <c r="F964" s="46" t="str">
        <f>IFERROR(__xludf.DUMMYFUNCTION("""COMPUTED_VALUE"""),"")</f>
        <v/>
      </c>
      <c r="G964" s="46"/>
      <c r="H964" s="46"/>
      <c r="I964" s="46"/>
      <c r="J964" s="46"/>
      <c r="K964" s="46"/>
      <c r="L964" s="46"/>
      <c r="M964" s="46"/>
      <c r="N964" s="46"/>
      <c r="O964" s="46"/>
      <c r="P964" s="46"/>
      <c r="Q964" s="46"/>
      <c r="R964" s="46"/>
      <c r="S964" s="46"/>
      <c r="T964" s="46"/>
      <c r="U964" s="46"/>
      <c r="V964" s="46"/>
      <c r="W964" s="46"/>
      <c r="X964" s="46"/>
      <c r="Y964" s="46"/>
      <c r="Z964" s="46"/>
      <c r="AA964" s="46"/>
    </row>
    <row r="965">
      <c r="A965" s="46"/>
      <c r="B965" s="46"/>
      <c r="C965" s="59" t="str">
        <f t="shared" si="3"/>
        <v/>
      </c>
      <c r="D965" s="46"/>
      <c r="E965" s="57" t="str">
        <f>IFERROR(__xludf.DUMMYFUNCTION("""COMPUTED_VALUE"""),"")</f>
        <v/>
      </c>
      <c r="F965" s="46" t="str">
        <f>IFERROR(__xludf.DUMMYFUNCTION("""COMPUTED_VALUE"""),"")</f>
        <v/>
      </c>
      <c r="G965" s="46"/>
      <c r="H965" s="46"/>
      <c r="I965" s="46"/>
      <c r="J965" s="46"/>
      <c r="K965" s="46"/>
      <c r="L965" s="46"/>
      <c r="M965" s="46"/>
      <c r="N965" s="46"/>
      <c r="O965" s="46"/>
      <c r="P965" s="46"/>
      <c r="Q965" s="46"/>
      <c r="R965" s="46"/>
      <c r="S965" s="46"/>
      <c r="T965" s="46"/>
      <c r="U965" s="46"/>
      <c r="V965" s="46"/>
      <c r="W965" s="46"/>
      <c r="X965" s="46"/>
      <c r="Y965" s="46"/>
      <c r="Z965" s="46"/>
      <c r="AA965" s="46"/>
    </row>
    <row r="966">
      <c r="A966" s="46"/>
      <c r="B966" s="46"/>
      <c r="C966" s="59" t="str">
        <f t="shared" si="3"/>
        <v/>
      </c>
      <c r="D966" s="46"/>
      <c r="E966" s="57" t="str">
        <f>IFERROR(__xludf.DUMMYFUNCTION("""COMPUTED_VALUE"""),"")</f>
        <v/>
      </c>
      <c r="F966" s="46" t="str">
        <f>IFERROR(__xludf.DUMMYFUNCTION("""COMPUTED_VALUE"""),"")</f>
        <v/>
      </c>
      <c r="G966" s="46"/>
      <c r="H966" s="46"/>
      <c r="I966" s="46"/>
      <c r="J966" s="46"/>
      <c r="K966" s="46"/>
      <c r="L966" s="46"/>
      <c r="M966" s="46"/>
      <c r="N966" s="46"/>
      <c r="O966" s="46"/>
      <c r="P966" s="46"/>
      <c r="Q966" s="46"/>
      <c r="R966" s="46"/>
      <c r="S966" s="46"/>
      <c r="T966" s="46"/>
      <c r="U966" s="46"/>
      <c r="V966" s="46"/>
      <c r="W966" s="46"/>
      <c r="X966" s="46"/>
      <c r="Y966" s="46"/>
      <c r="Z966" s="46"/>
      <c r="AA966" s="46"/>
    </row>
    <row r="967">
      <c r="A967" s="46"/>
      <c r="B967" s="46"/>
      <c r="C967" s="59" t="str">
        <f t="shared" si="3"/>
        <v/>
      </c>
      <c r="D967" s="46"/>
      <c r="E967" s="57" t="str">
        <f>IFERROR(__xludf.DUMMYFUNCTION("""COMPUTED_VALUE"""),"")</f>
        <v/>
      </c>
      <c r="F967" s="46" t="str">
        <f>IFERROR(__xludf.DUMMYFUNCTION("""COMPUTED_VALUE"""),"")</f>
        <v/>
      </c>
      <c r="G967" s="46"/>
      <c r="H967" s="46"/>
      <c r="I967" s="46"/>
      <c r="J967" s="46"/>
      <c r="K967" s="46"/>
      <c r="L967" s="46"/>
      <c r="M967" s="46"/>
      <c r="N967" s="46"/>
      <c r="O967" s="46"/>
      <c r="P967" s="46"/>
      <c r="Q967" s="46"/>
      <c r="R967" s="46"/>
      <c r="S967" s="46"/>
      <c r="T967" s="46"/>
      <c r="U967" s="46"/>
      <c r="V967" s="46"/>
      <c r="W967" s="46"/>
      <c r="X967" s="46"/>
      <c r="Y967" s="46"/>
      <c r="Z967" s="46"/>
      <c r="AA967" s="46"/>
    </row>
    <row r="968">
      <c r="A968" s="46"/>
      <c r="B968" s="46"/>
      <c r="C968" s="59" t="str">
        <f t="shared" si="3"/>
        <v/>
      </c>
      <c r="D968" s="46"/>
      <c r="E968" s="57" t="str">
        <f>IFERROR(__xludf.DUMMYFUNCTION("""COMPUTED_VALUE"""),"")</f>
        <v/>
      </c>
      <c r="F968" s="46" t="str">
        <f>IFERROR(__xludf.DUMMYFUNCTION("""COMPUTED_VALUE"""),"")</f>
        <v/>
      </c>
      <c r="G968" s="46"/>
      <c r="H968" s="46"/>
      <c r="I968" s="46"/>
      <c r="J968" s="46"/>
      <c r="K968" s="46"/>
      <c r="L968" s="46"/>
      <c r="M968" s="46"/>
      <c r="N968" s="46"/>
      <c r="O968" s="46"/>
      <c r="P968" s="46"/>
      <c r="Q968" s="46"/>
      <c r="R968" s="46"/>
      <c r="S968" s="46"/>
      <c r="T968" s="46"/>
      <c r="U968" s="46"/>
      <c r="V968" s="46"/>
      <c r="W968" s="46"/>
      <c r="X968" s="46"/>
      <c r="Y968" s="46"/>
      <c r="Z968" s="46"/>
      <c r="AA968" s="46"/>
    </row>
    <row r="969">
      <c r="A969" s="46"/>
      <c r="B969" s="46"/>
      <c r="C969" s="59" t="str">
        <f t="shared" si="3"/>
        <v/>
      </c>
      <c r="D969" s="46"/>
      <c r="E969" s="57" t="str">
        <f>IFERROR(__xludf.DUMMYFUNCTION("""COMPUTED_VALUE"""),"")</f>
        <v/>
      </c>
      <c r="F969" s="46" t="str">
        <f>IFERROR(__xludf.DUMMYFUNCTION("""COMPUTED_VALUE"""),"")</f>
        <v/>
      </c>
      <c r="G969" s="46"/>
      <c r="H969" s="46"/>
      <c r="I969" s="46"/>
      <c r="J969" s="46"/>
      <c r="K969" s="46"/>
      <c r="L969" s="46"/>
      <c r="M969" s="46"/>
      <c r="N969" s="46"/>
      <c r="O969" s="46"/>
      <c r="P969" s="46"/>
      <c r="Q969" s="46"/>
      <c r="R969" s="46"/>
      <c r="S969" s="46"/>
      <c r="T969" s="46"/>
      <c r="U969" s="46"/>
      <c r="V969" s="46"/>
      <c r="W969" s="46"/>
      <c r="X969" s="46"/>
      <c r="Y969" s="46"/>
      <c r="Z969" s="46"/>
      <c r="AA969" s="46"/>
    </row>
    <row r="970">
      <c r="A970" s="46"/>
      <c r="B970" s="46"/>
      <c r="C970" s="46"/>
      <c r="D970" s="46"/>
      <c r="E970" s="57" t="str">
        <f>IFERROR(__xludf.DUMMYFUNCTION("""COMPUTED_VALUE"""),"")</f>
        <v/>
      </c>
      <c r="F970" s="46" t="str">
        <f>IFERROR(__xludf.DUMMYFUNCTION("""COMPUTED_VALUE"""),"")</f>
        <v/>
      </c>
      <c r="G970" s="46"/>
      <c r="H970" s="46"/>
      <c r="I970" s="46"/>
      <c r="J970" s="46"/>
      <c r="K970" s="46"/>
      <c r="L970" s="46"/>
      <c r="M970" s="46"/>
      <c r="N970" s="46"/>
      <c r="O970" s="46"/>
      <c r="P970" s="46"/>
      <c r="Q970" s="46"/>
      <c r="R970" s="46"/>
      <c r="S970" s="46"/>
      <c r="T970" s="46"/>
      <c r="U970" s="46"/>
      <c r="V970" s="46"/>
      <c r="W970" s="46"/>
      <c r="X970" s="46"/>
      <c r="Y970" s="46"/>
      <c r="Z970" s="46"/>
      <c r="AA970" s="46"/>
    </row>
    <row r="971">
      <c r="A971" s="46"/>
      <c r="B971" s="46"/>
      <c r="C971" s="46"/>
      <c r="D971" s="46"/>
      <c r="E971" s="57" t="str">
        <f>IFERROR(__xludf.DUMMYFUNCTION("""COMPUTED_VALUE"""),"")</f>
        <v/>
      </c>
      <c r="F971" s="46" t="str">
        <f>IFERROR(__xludf.DUMMYFUNCTION("""COMPUTED_VALUE"""),"")</f>
        <v/>
      </c>
      <c r="G971" s="46"/>
      <c r="H971" s="46"/>
      <c r="I971" s="46"/>
      <c r="J971" s="46"/>
      <c r="K971" s="46"/>
      <c r="L971" s="46"/>
      <c r="M971" s="46"/>
      <c r="N971" s="46"/>
      <c r="O971" s="46"/>
      <c r="P971" s="46"/>
      <c r="Q971" s="46"/>
      <c r="R971" s="46"/>
      <c r="S971" s="46"/>
      <c r="T971" s="46"/>
      <c r="U971" s="46"/>
      <c r="V971" s="46"/>
      <c r="W971" s="46"/>
      <c r="X971" s="46"/>
      <c r="Y971" s="46"/>
      <c r="Z971" s="46"/>
      <c r="AA971" s="46"/>
    </row>
    <row r="972">
      <c r="A972" s="46"/>
      <c r="B972" s="46"/>
      <c r="C972" s="46"/>
      <c r="D972" s="46"/>
      <c r="E972" s="57" t="str">
        <f>IFERROR(__xludf.DUMMYFUNCTION("""COMPUTED_VALUE"""),"")</f>
        <v/>
      </c>
      <c r="F972" s="46" t="str">
        <f>IFERROR(__xludf.DUMMYFUNCTION("""COMPUTED_VALUE"""),"")</f>
        <v/>
      </c>
      <c r="G972" s="46"/>
      <c r="H972" s="46"/>
      <c r="I972" s="46"/>
      <c r="J972" s="46"/>
      <c r="K972" s="46"/>
      <c r="L972" s="46"/>
      <c r="M972" s="46"/>
      <c r="N972" s="46"/>
      <c r="O972" s="46"/>
      <c r="P972" s="46"/>
      <c r="Q972" s="46"/>
      <c r="R972" s="46"/>
      <c r="S972" s="46"/>
      <c r="T972" s="46"/>
      <c r="U972" s="46"/>
      <c r="V972" s="46"/>
      <c r="W972" s="46"/>
      <c r="X972" s="46"/>
      <c r="Y972" s="46"/>
      <c r="Z972" s="46"/>
      <c r="AA972" s="46"/>
    </row>
    <row r="973">
      <c r="A973" s="46"/>
      <c r="B973" s="46"/>
      <c r="C973" s="46"/>
      <c r="D973" s="46"/>
      <c r="E973" s="57" t="str">
        <f>IFERROR(__xludf.DUMMYFUNCTION("""COMPUTED_VALUE"""),"")</f>
        <v/>
      </c>
      <c r="F973" s="46" t="str">
        <f>IFERROR(__xludf.DUMMYFUNCTION("""COMPUTED_VALUE"""),"")</f>
        <v/>
      </c>
      <c r="G973" s="46"/>
      <c r="H973" s="46"/>
      <c r="I973" s="46"/>
      <c r="J973" s="46"/>
      <c r="K973" s="46"/>
      <c r="L973" s="46"/>
      <c r="M973" s="46"/>
      <c r="N973" s="46"/>
      <c r="O973" s="46"/>
      <c r="P973" s="46"/>
      <c r="Q973" s="46"/>
      <c r="R973" s="46"/>
      <c r="S973" s="46"/>
      <c r="T973" s="46"/>
      <c r="U973" s="46"/>
      <c r="V973" s="46"/>
      <c r="W973" s="46"/>
      <c r="X973" s="46"/>
      <c r="Y973" s="46"/>
      <c r="Z973" s="46"/>
      <c r="AA973" s="46"/>
    </row>
    <row r="974">
      <c r="A974" s="46"/>
      <c r="B974" s="46"/>
      <c r="C974" s="46"/>
      <c r="D974" s="46"/>
      <c r="E974" s="57" t="str">
        <f>IFERROR(__xludf.DUMMYFUNCTION("""COMPUTED_VALUE"""),"")</f>
        <v/>
      </c>
      <c r="F974" s="46" t="str">
        <f>IFERROR(__xludf.DUMMYFUNCTION("""COMPUTED_VALUE"""),"")</f>
        <v/>
      </c>
      <c r="G974" s="46"/>
      <c r="H974" s="46"/>
      <c r="I974" s="46"/>
      <c r="J974" s="46"/>
      <c r="K974" s="46"/>
      <c r="L974" s="46"/>
      <c r="M974" s="46"/>
      <c r="N974" s="46"/>
      <c r="O974" s="46"/>
      <c r="P974" s="46"/>
      <c r="Q974" s="46"/>
      <c r="R974" s="46"/>
      <c r="S974" s="46"/>
      <c r="T974" s="46"/>
      <c r="U974" s="46"/>
      <c r="V974" s="46"/>
      <c r="W974" s="46"/>
      <c r="X974" s="46"/>
      <c r="Y974" s="46"/>
      <c r="Z974" s="46"/>
      <c r="AA974" s="46"/>
    </row>
    <row r="975">
      <c r="A975" s="46"/>
      <c r="B975" s="46"/>
      <c r="C975" s="46"/>
      <c r="D975" s="46"/>
      <c r="E975" s="57" t="str">
        <f>IFERROR(__xludf.DUMMYFUNCTION("""COMPUTED_VALUE"""),"")</f>
        <v/>
      </c>
      <c r="F975" s="46" t="str">
        <f>IFERROR(__xludf.DUMMYFUNCTION("""COMPUTED_VALUE"""),"")</f>
        <v/>
      </c>
      <c r="G975" s="46"/>
      <c r="H975" s="46"/>
      <c r="I975" s="46"/>
      <c r="J975" s="46"/>
      <c r="K975" s="46"/>
      <c r="L975" s="46"/>
      <c r="M975" s="46"/>
      <c r="N975" s="46"/>
      <c r="O975" s="46"/>
      <c r="P975" s="46"/>
      <c r="Q975" s="46"/>
      <c r="R975" s="46"/>
      <c r="S975" s="46"/>
      <c r="T975" s="46"/>
      <c r="U975" s="46"/>
      <c r="V975" s="46"/>
      <c r="W975" s="46"/>
      <c r="X975" s="46"/>
      <c r="Y975" s="46"/>
      <c r="Z975" s="46"/>
      <c r="AA975" s="46"/>
    </row>
    <row r="976">
      <c r="A976" s="46"/>
      <c r="B976" s="46"/>
      <c r="C976" s="46"/>
      <c r="D976" s="46"/>
      <c r="E976" s="57" t="str">
        <f>IFERROR(__xludf.DUMMYFUNCTION("""COMPUTED_VALUE"""),"")</f>
        <v/>
      </c>
      <c r="F976" s="46" t="str">
        <f>IFERROR(__xludf.DUMMYFUNCTION("""COMPUTED_VALUE"""),"")</f>
        <v/>
      </c>
      <c r="G976" s="46"/>
      <c r="H976" s="46"/>
      <c r="I976" s="46"/>
      <c r="J976" s="46"/>
      <c r="K976" s="46"/>
      <c r="L976" s="46"/>
      <c r="M976" s="46"/>
      <c r="N976" s="46"/>
      <c r="O976" s="46"/>
      <c r="P976" s="46"/>
      <c r="Q976" s="46"/>
      <c r="R976" s="46"/>
      <c r="S976" s="46"/>
      <c r="T976" s="46"/>
      <c r="U976" s="46"/>
      <c r="V976" s="46"/>
      <c r="W976" s="46"/>
      <c r="X976" s="46"/>
      <c r="Y976" s="46"/>
      <c r="Z976" s="46"/>
      <c r="AA976" s="46"/>
    </row>
    <row r="977">
      <c r="A977" s="46"/>
      <c r="B977" s="46"/>
      <c r="C977" s="46"/>
      <c r="D977" s="46"/>
      <c r="E977" s="57" t="str">
        <f>IFERROR(__xludf.DUMMYFUNCTION("""COMPUTED_VALUE"""),"")</f>
        <v/>
      </c>
      <c r="F977" s="46" t="str">
        <f>IFERROR(__xludf.DUMMYFUNCTION("""COMPUTED_VALUE"""),"")</f>
        <v/>
      </c>
      <c r="G977" s="46"/>
      <c r="H977" s="46"/>
      <c r="I977" s="46"/>
      <c r="J977" s="46"/>
      <c r="K977" s="46"/>
      <c r="L977" s="46"/>
      <c r="M977" s="46"/>
      <c r="N977" s="46"/>
      <c r="O977" s="46"/>
      <c r="P977" s="46"/>
      <c r="Q977" s="46"/>
      <c r="R977" s="46"/>
      <c r="S977" s="46"/>
      <c r="T977" s="46"/>
      <c r="U977" s="46"/>
      <c r="V977" s="46"/>
      <c r="W977" s="46"/>
      <c r="X977" s="46"/>
      <c r="Y977" s="46"/>
      <c r="Z977" s="46"/>
      <c r="AA977" s="46"/>
    </row>
    <row r="978">
      <c r="A978" s="46"/>
      <c r="B978" s="46"/>
      <c r="C978" s="46"/>
      <c r="D978" s="46"/>
      <c r="E978" s="57" t="str">
        <f>IFERROR(__xludf.DUMMYFUNCTION("""COMPUTED_VALUE"""),"")</f>
        <v/>
      </c>
      <c r="F978" s="46" t="str">
        <f>IFERROR(__xludf.DUMMYFUNCTION("""COMPUTED_VALUE"""),"")</f>
        <v/>
      </c>
      <c r="G978" s="46"/>
      <c r="H978" s="46"/>
      <c r="I978" s="46"/>
      <c r="J978" s="46"/>
      <c r="K978" s="46"/>
      <c r="L978" s="46"/>
      <c r="M978" s="46"/>
      <c r="N978" s="46"/>
      <c r="O978" s="46"/>
      <c r="P978" s="46"/>
      <c r="Q978" s="46"/>
      <c r="R978" s="46"/>
      <c r="S978" s="46"/>
      <c r="T978" s="46"/>
      <c r="U978" s="46"/>
      <c r="V978" s="46"/>
      <c r="W978" s="46"/>
      <c r="X978" s="46"/>
      <c r="Y978" s="46"/>
      <c r="Z978" s="46"/>
      <c r="AA978" s="46"/>
    </row>
    <row r="979">
      <c r="A979" s="46"/>
      <c r="B979" s="46"/>
      <c r="C979" s="46"/>
      <c r="D979" s="46"/>
      <c r="E979" s="57" t="str">
        <f>IFERROR(__xludf.DUMMYFUNCTION("""COMPUTED_VALUE"""),"")</f>
        <v/>
      </c>
      <c r="F979" s="46" t="str">
        <f>IFERROR(__xludf.DUMMYFUNCTION("""COMPUTED_VALUE"""),"")</f>
        <v/>
      </c>
      <c r="G979" s="46"/>
      <c r="H979" s="46"/>
      <c r="I979" s="46"/>
      <c r="J979" s="46"/>
      <c r="K979" s="46"/>
      <c r="L979" s="46"/>
      <c r="M979" s="46"/>
      <c r="N979" s="46"/>
      <c r="O979" s="46"/>
      <c r="P979" s="46"/>
      <c r="Q979" s="46"/>
      <c r="R979" s="46"/>
      <c r="S979" s="46"/>
      <c r="T979" s="46"/>
      <c r="U979" s="46"/>
      <c r="V979" s="46"/>
      <c r="W979" s="46"/>
      <c r="X979" s="46"/>
      <c r="Y979" s="46"/>
      <c r="Z979" s="46"/>
      <c r="AA979" s="46"/>
    </row>
    <row r="980">
      <c r="A980" s="46"/>
      <c r="B980" s="46"/>
      <c r="C980" s="46"/>
      <c r="D980" s="46"/>
      <c r="E980" s="57" t="str">
        <f>IFERROR(__xludf.DUMMYFUNCTION("""COMPUTED_VALUE"""),"")</f>
        <v/>
      </c>
      <c r="F980" s="46" t="str">
        <f>IFERROR(__xludf.DUMMYFUNCTION("""COMPUTED_VALUE"""),"")</f>
        <v/>
      </c>
      <c r="G980" s="46"/>
      <c r="H980" s="46"/>
      <c r="I980" s="46"/>
      <c r="J980" s="46"/>
      <c r="K980" s="46"/>
      <c r="L980" s="46"/>
      <c r="M980" s="46"/>
      <c r="N980" s="46"/>
      <c r="O980" s="46"/>
      <c r="P980" s="46"/>
      <c r="Q980" s="46"/>
      <c r="R980" s="46"/>
      <c r="S980" s="46"/>
      <c r="T980" s="46"/>
      <c r="U980" s="46"/>
      <c r="V980" s="46"/>
      <c r="W980" s="46"/>
      <c r="X980" s="46"/>
      <c r="Y980" s="46"/>
      <c r="Z980" s="46"/>
      <c r="AA980" s="46"/>
    </row>
    <row r="981">
      <c r="A981" s="46"/>
      <c r="B981" s="46"/>
      <c r="C981" s="46"/>
      <c r="D981" s="46"/>
      <c r="E981" s="57" t="str">
        <f>IFERROR(__xludf.DUMMYFUNCTION("""COMPUTED_VALUE"""),"")</f>
        <v/>
      </c>
      <c r="F981" s="46" t="str">
        <f>IFERROR(__xludf.DUMMYFUNCTION("""COMPUTED_VALUE"""),"")</f>
        <v/>
      </c>
      <c r="G981" s="46"/>
      <c r="H981" s="46"/>
      <c r="I981" s="46"/>
      <c r="J981" s="46"/>
      <c r="K981" s="46"/>
      <c r="L981" s="46"/>
      <c r="M981" s="46"/>
      <c r="N981" s="46"/>
      <c r="O981" s="46"/>
      <c r="P981" s="46"/>
      <c r="Q981" s="46"/>
      <c r="R981" s="46"/>
      <c r="S981" s="46"/>
      <c r="T981" s="46"/>
      <c r="U981" s="46"/>
      <c r="V981" s="46"/>
      <c r="W981" s="46"/>
      <c r="X981" s="46"/>
      <c r="Y981" s="46"/>
      <c r="Z981" s="46"/>
      <c r="AA981" s="46"/>
    </row>
    <row r="982">
      <c r="A982" s="46"/>
      <c r="B982" s="46"/>
      <c r="C982" s="46"/>
      <c r="D982" s="46"/>
      <c r="E982" s="57" t="str">
        <f>IFERROR(__xludf.DUMMYFUNCTION("""COMPUTED_VALUE"""),"")</f>
        <v/>
      </c>
      <c r="F982" s="46" t="str">
        <f>IFERROR(__xludf.DUMMYFUNCTION("""COMPUTED_VALUE"""),"")</f>
        <v/>
      </c>
      <c r="G982" s="46"/>
      <c r="H982" s="46"/>
      <c r="I982" s="46"/>
      <c r="J982" s="46"/>
      <c r="K982" s="46"/>
      <c r="L982" s="46"/>
      <c r="M982" s="46"/>
      <c r="N982" s="46"/>
      <c r="O982" s="46"/>
      <c r="P982" s="46"/>
      <c r="Q982" s="46"/>
      <c r="R982" s="46"/>
      <c r="S982" s="46"/>
      <c r="T982" s="46"/>
      <c r="U982" s="46"/>
      <c r="V982" s="46"/>
      <c r="W982" s="46"/>
      <c r="X982" s="46"/>
      <c r="Y982" s="46"/>
      <c r="Z982" s="46"/>
      <c r="AA982" s="46"/>
    </row>
    <row r="983">
      <c r="A983" s="46"/>
      <c r="B983" s="46"/>
      <c r="C983" s="46"/>
      <c r="D983" s="46"/>
      <c r="E983" s="57" t="str">
        <f>IFERROR(__xludf.DUMMYFUNCTION("""COMPUTED_VALUE"""),"")</f>
        <v/>
      </c>
      <c r="F983" s="46" t="str">
        <f>IFERROR(__xludf.DUMMYFUNCTION("""COMPUTED_VALUE"""),"")</f>
        <v/>
      </c>
      <c r="G983" s="46"/>
      <c r="H983" s="46"/>
      <c r="I983" s="46"/>
      <c r="J983" s="46"/>
      <c r="K983" s="46"/>
      <c r="L983" s="46"/>
      <c r="M983" s="46"/>
      <c r="N983" s="46"/>
      <c r="O983" s="46"/>
      <c r="P983" s="46"/>
      <c r="Q983" s="46"/>
      <c r="R983" s="46"/>
      <c r="S983" s="46"/>
      <c r="T983" s="46"/>
      <c r="U983" s="46"/>
      <c r="V983" s="46"/>
      <c r="W983" s="46"/>
      <c r="X983" s="46"/>
      <c r="Y983" s="46"/>
      <c r="Z983" s="46"/>
      <c r="AA983" s="46"/>
    </row>
    <row r="984">
      <c r="A984" s="46"/>
      <c r="B984" s="46"/>
      <c r="C984" s="46"/>
      <c r="D984" s="46"/>
      <c r="E984" s="57" t="str">
        <f>IFERROR(__xludf.DUMMYFUNCTION("""COMPUTED_VALUE"""),"")</f>
        <v/>
      </c>
      <c r="F984" s="46" t="str">
        <f>IFERROR(__xludf.DUMMYFUNCTION("""COMPUTED_VALUE"""),"")</f>
        <v/>
      </c>
      <c r="G984" s="46"/>
      <c r="H984" s="46"/>
      <c r="I984" s="46"/>
      <c r="J984" s="46"/>
      <c r="K984" s="46"/>
      <c r="L984" s="46"/>
      <c r="M984" s="46"/>
      <c r="N984" s="46"/>
      <c r="O984" s="46"/>
      <c r="P984" s="46"/>
      <c r="Q984" s="46"/>
      <c r="R984" s="46"/>
      <c r="S984" s="46"/>
      <c r="T984" s="46"/>
      <c r="U984" s="46"/>
      <c r="V984" s="46"/>
      <c r="W984" s="46"/>
      <c r="X984" s="46"/>
      <c r="Y984" s="46"/>
      <c r="Z984" s="46"/>
      <c r="AA984" s="46"/>
    </row>
    <row r="985">
      <c r="A985" s="46"/>
      <c r="B985" s="46"/>
      <c r="C985" s="46"/>
      <c r="D985" s="46"/>
      <c r="E985" s="57" t="str">
        <f>IFERROR(__xludf.DUMMYFUNCTION("""COMPUTED_VALUE"""),"")</f>
        <v/>
      </c>
      <c r="F985" s="46" t="str">
        <f>IFERROR(__xludf.DUMMYFUNCTION("""COMPUTED_VALUE"""),"")</f>
        <v/>
      </c>
      <c r="G985" s="46"/>
      <c r="H985" s="46"/>
      <c r="I985" s="46"/>
      <c r="J985" s="46"/>
      <c r="K985" s="46"/>
      <c r="L985" s="46"/>
      <c r="M985" s="46"/>
      <c r="N985" s="46"/>
      <c r="O985" s="46"/>
      <c r="P985" s="46"/>
      <c r="Q985" s="46"/>
      <c r="R985" s="46"/>
      <c r="S985" s="46"/>
      <c r="T985" s="46"/>
      <c r="U985" s="46"/>
      <c r="V985" s="46"/>
      <c r="W985" s="46"/>
      <c r="X985" s="46"/>
      <c r="Y985" s="46"/>
      <c r="Z985" s="46"/>
      <c r="AA985" s="46"/>
    </row>
    <row r="986">
      <c r="A986" s="46"/>
      <c r="B986" s="46"/>
      <c r="C986" s="46"/>
      <c r="D986" s="46"/>
      <c r="E986" s="57" t="str">
        <f>IFERROR(__xludf.DUMMYFUNCTION("""COMPUTED_VALUE"""),"")</f>
        <v/>
      </c>
      <c r="F986" s="46" t="str">
        <f>IFERROR(__xludf.DUMMYFUNCTION("""COMPUTED_VALUE"""),"")</f>
        <v/>
      </c>
      <c r="G986" s="46"/>
      <c r="H986" s="46"/>
      <c r="I986" s="46"/>
      <c r="J986" s="46"/>
      <c r="K986" s="46"/>
      <c r="L986" s="46"/>
      <c r="M986" s="46"/>
      <c r="N986" s="46"/>
      <c r="O986" s="46"/>
      <c r="P986" s="46"/>
      <c r="Q986" s="46"/>
      <c r="R986" s="46"/>
      <c r="S986" s="46"/>
      <c r="T986" s="46"/>
      <c r="U986" s="46"/>
      <c r="V986" s="46"/>
      <c r="W986" s="46"/>
      <c r="X986" s="46"/>
      <c r="Y986" s="46"/>
      <c r="Z986" s="46"/>
      <c r="AA986" s="46"/>
    </row>
    <row r="987">
      <c r="A987" s="46"/>
      <c r="B987" s="46"/>
      <c r="C987" s="46"/>
      <c r="D987" s="46"/>
      <c r="E987" s="57" t="str">
        <f>IFERROR(__xludf.DUMMYFUNCTION("""COMPUTED_VALUE"""),"")</f>
        <v/>
      </c>
      <c r="F987" s="46" t="str">
        <f>IFERROR(__xludf.DUMMYFUNCTION("""COMPUTED_VALUE"""),"")</f>
        <v/>
      </c>
      <c r="G987" s="46"/>
      <c r="H987" s="46"/>
      <c r="I987" s="46"/>
      <c r="J987" s="46"/>
      <c r="K987" s="46"/>
      <c r="L987" s="46"/>
      <c r="M987" s="46"/>
      <c r="N987" s="46"/>
      <c r="O987" s="46"/>
      <c r="P987" s="46"/>
      <c r="Q987" s="46"/>
      <c r="R987" s="46"/>
      <c r="S987" s="46"/>
      <c r="T987" s="46"/>
      <c r="U987" s="46"/>
      <c r="V987" s="46"/>
      <c r="W987" s="46"/>
      <c r="X987" s="46"/>
      <c r="Y987" s="46"/>
      <c r="Z987" s="46"/>
      <c r="AA987" s="46"/>
    </row>
    <row r="988">
      <c r="A988" s="46"/>
      <c r="B988" s="46"/>
      <c r="C988" s="46"/>
      <c r="D988" s="46"/>
      <c r="E988" s="57" t="str">
        <f>IFERROR(__xludf.DUMMYFUNCTION("""COMPUTED_VALUE"""),"")</f>
        <v/>
      </c>
      <c r="F988" s="46" t="str">
        <f>IFERROR(__xludf.DUMMYFUNCTION("""COMPUTED_VALUE"""),"")</f>
        <v/>
      </c>
      <c r="G988" s="46"/>
      <c r="H988" s="46"/>
      <c r="I988" s="46"/>
      <c r="J988" s="46"/>
      <c r="K988" s="46"/>
      <c r="L988" s="46"/>
      <c r="M988" s="46"/>
      <c r="N988" s="46"/>
      <c r="O988" s="46"/>
      <c r="P988" s="46"/>
      <c r="Q988" s="46"/>
      <c r="R988" s="46"/>
      <c r="S988" s="46"/>
      <c r="T988" s="46"/>
      <c r="U988" s="46"/>
      <c r="V988" s="46"/>
      <c r="W988" s="46"/>
      <c r="X988" s="46"/>
      <c r="Y988" s="46"/>
      <c r="Z988" s="46"/>
      <c r="AA988" s="46"/>
    </row>
    <row r="989">
      <c r="A989" s="46"/>
      <c r="B989" s="46"/>
      <c r="C989" s="46"/>
      <c r="D989" s="46"/>
      <c r="E989" s="57" t="str">
        <f>IFERROR(__xludf.DUMMYFUNCTION("""COMPUTED_VALUE"""),"")</f>
        <v/>
      </c>
      <c r="F989" s="46" t="str">
        <f>IFERROR(__xludf.DUMMYFUNCTION("""COMPUTED_VALUE"""),"")</f>
        <v/>
      </c>
      <c r="G989" s="46"/>
      <c r="H989" s="46"/>
      <c r="I989" s="46"/>
      <c r="J989" s="46"/>
      <c r="K989" s="46"/>
      <c r="L989" s="46"/>
      <c r="M989" s="46"/>
      <c r="N989" s="46"/>
      <c r="O989" s="46"/>
      <c r="P989" s="46"/>
      <c r="Q989" s="46"/>
      <c r="R989" s="46"/>
      <c r="S989" s="46"/>
      <c r="T989" s="46"/>
      <c r="U989" s="46"/>
      <c r="V989" s="46"/>
      <c r="W989" s="46"/>
      <c r="X989" s="46"/>
      <c r="Y989" s="46"/>
      <c r="Z989" s="46"/>
      <c r="AA989" s="46"/>
    </row>
    <row r="990">
      <c r="A990" s="46"/>
      <c r="B990" s="46"/>
      <c r="C990" s="46"/>
      <c r="D990" s="46"/>
      <c r="E990" s="57" t="str">
        <f>IFERROR(__xludf.DUMMYFUNCTION("""COMPUTED_VALUE"""),"")</f>
        <v/>
      </c>
      <c r="F990" s="46" t="str">
        <f>IFERROR(__xludf.DUMMYFUNCTION("""COMPUTED_VALUE"""),"")</f>
        <v/>
      </c>
      <c r="G990" s="46"/>
      <c r="H990" s="46"/>
      <c r="I990" s="46"/>
      <c r="J990" s="46"/>
      <c r="K990" s="46"/>
      <c r="L990" s="46"/>
      <c r="M990" s="46"/>
      <c r="N990" s="46"/>
      <c r="O990" s="46"/>
      <c r="P990" s="46"/>
      <c r="Q990" s="46"/>
      <c r="R990" s="46"/>
      <c r="S990" s="46"/>
      <c r="T990" s="46"/>
      <c r="U990" s="46"/>
      <c r="V990" s="46"/>
      <c r="W990" s="46"/>
      <c r="X990" s="46"/>
      <c r="Y990" s="46"/>
      <c r="Z990" s="46"/>
      <c r="AA990" s="46"/>
    </row>
    <row r="991">
      <c r="A991" s="46"/>
      <c r="B991" s="46"/>
      <c r="C991" s="46"/>
      <c r="D991" s="46"/>
      <c r="E991" s="57" t="str">
        <f>IFERROR(__xludf.DUMMYFUNCTION("""COMPUTED_VALUE"""),"")</f>
        <v/>
      </c>
      <c r="F991" s="46" t="str">
        <f>IFERROR(__xludf.DUMMYFUNCTION("""COMPUTED_VALUE"""),"")</f>
        <v/>
      </c>
      <c r="G991" s="46"/>
      <c r="H991" s="46"/>
      <c r="I991" s="46"/>
      <c r="J991" s="46"/>
      <c r="K991" s="46"/>
      <c r="L991" s="46"/>
      <c r="M991" s="46"/>
      <c r="N991" s="46"/>
      <c r="O991" s="46"/>
      <c r="P991" s="46"/>
      <c r="Q991" s="46"/>
      <c r="R991" s="46"/>
      <c r="S991" s="46"/>
      <c r="T991" s="46"/>
      <c r="U991" s="46"/>
      <c r="V991" s="46"/>
      <c r="W991" s="46"/>
      <c r="X991" s="46"/>
      <c r="Y991" s="46"/>
      <c r="Z991" s="46"/>
      <c r="AA991" s="46"/>
    </row>
    <row r="992">
      <c r="A992" s="46"/>
      <c r="B992" s="46"/>
      <c r="C992" s="46"/>
      <c r="D992" s="46"/>
      <c r="E992" s="57" t="str">
        <f>IFERROR(__xludf.DUMMYFUNCTION("""COMPUTED_VALUE"""),"")</f>
        <v/>
      </c>
      <c r="F992" s="46" t="str">
        <f>IFERROR(__xludf.DUMMYFUNCTION("""COMPUTED_VALUE"""),"")</f>
        <v/>
      </c>
      <c r="G992" s="46"/>
      <c r="H992" s="46"/>
      <c r="I992" s="46"/>
      <c r="J992" s="46"/>
      <c r="K992" s="46"/>
      <c r="L992" s="46"/>
      <c r="M992" s="46"/>
      <c r="N992" s="46"/>
      <c r="O992" s="46"/>
      <c r="P992" s="46"/>
      <c r="Q992" s="46"/>
      <c r="R992" s="46"/>
      <c r="S992" s="46"/>
      <c r="T992" s="46"/>
      <c r="U992" s="46"/>
      <c r="V992" s="46"/>
      <c r="W992" s="46"/>
      <c r="X992" s="46"/>
      <c r="Y992" s="46"/>
      <c r="Z992" s="46"/>
      <c r="AA992" s="46"/>
    </row>
    <row r="993">
      <c r="A993" s="46"/>
      <c r="B993" s="46"/>
      <c r="C993" s="46"/>
      <c r="D993" s="46"/>
      <c r="E993" s="57" t="str">
        <f>IFERROR(__xludf.DUMMYFUNCTION("""COMPUTED_VALUE"""),"")</f>
        <v/>
      </c>
      <c r="F993" s="46" t="str">
        <f>IFERROR(__xludf.DUMMYFUNCTION("""COMPUTED_VALUE"""),"")</f>
        <v/>
      </c>
      <c r="G993" s="46"/>
      <c r="H993" s="46"/>
      <c r="I993" s="46"/>
      <c r="J993" s="46"/>
      <c r="K993" s="46"/>
      <c r="L993" s="46"/>
      <c r="M993" s="46"/>
      <c r="N993" s="46"/>
      <c r="O993" s="46"/>
      <c r="P993" s="46"/>
      <c r="Q993" s="46"/>
      <c r="R993" s="46"/>
      <c r="S993" s="46"/>
      <c r="T993" s="46"/>
      <c r="U993" s="46"/>
      <c r="V993" s="46"/>
      <c r="W993" s="46"/>
      <c r="X993" s="46"/>
      <c r="Y993" s="46"/>
      <c r="Z993" s="46"/>
      <c r="AA993" s="46"/>
    </row>
    <row r="994">
      <c r="A994" s="46"/>
      <c r="B994" s="46"/>
      <c r="C994" s="46"/>
      <c r="D994" s="46"/>
      <c r="E994" s="57" t="str">
        <f>IFERROR(__xludf.DUMMYFUNCTION("""COMPUTED_VALUE"""),"")</f>
        <v/>
      </c>
      <c r="F994" s="46" t="str">
        <f>IFERROR(__xludf.DUMMYFUNCTION("""COMPUTED_VALUE"""),"")</f>
        <v/>
      </c>
      <c r="G994" s="46"/>
      <c r="H994" s="46"/>
      <c r="I994" s="46"/>
      <c r="J994" s="46"/>
      <c r="K994" s="46"/>
      <c r="L994" s="46"/>
      <c r="M994" s="46"/>
      <c r="N994" s="46"/>
      <c r="O994" s="46"/>
      <c r="P994" s="46"/>
      <c r="Q994" s="46"/>
      <c r="R994" s="46"/>
      <c r="S994" s="46"/>
      <c r="T994" s="46"/>
      <c r="U994" s="46"/>
      <c r="V994" s="46"/>
      <c r="W994" s="46"/>
      <c r="X994" s="46"/>
      <c r="Y994" s="46"/>
      <c r="Z994" s="46"/>
      <c r="AA994" s="46"/>
    </row>
    <row r="995">
      <c r="A995" s="46"/>
      <c r="B995" s="46"/>
      <c r="C995" s="46"/>
      <c r="D995" s="46"/>
      <c r="E995" s="57" t="str">
        <f>IFERROR(__xludf.DUMMYFUNCTION("""COMPUTED_VALUE"""),"")</f>
        <v/>
      </c>
      <c r="F995" s="46" t="str">
        <f>IFERROR(__xludf.DUMMYFUNCTION("""COMPUTED_VALUE"""),"")</f>
        <v/>
      </c>
      <c r="G995" s="46"/>
      <c r="H995" s="46"/>
      <c r="I995" s="46"/>
      <c r="J995" s="46"/>
      <c r="K995" s="46"/>
      <c r="L995" s="46"/>
      <c r="M995" s="46"/>
      <c r="N995" s="46"/>
      <c r="O995" s="46"/>
      <c r="P995" s="46"/>
      <c r="Q995" s="46"/>
      <c r="R995" s="46"/>
      <c r="S995" s="46"/>
      <c r="T995" s="46"/>
      <c r="U995" s="46"/>
      <c r="V995" s="46"/>
      <c r="W995" s="46"/>
      <c r="X995" s="46"/>
      <c r="Y995" s="46"/>
      <c r="Z995" s="46"/>
      <c r="AA995" s="46"/>
    </row>
    <row r="996">
      <c r="A996" s="46"/>
      <c r="B996" s="46"/>
      <c r="C996" s="46"/>
      <c r="D996" s="46"/>
      <c r="E996" s="57" t="str">
        <f>IFERROR(__xludf.DUMMYFUNCTION("""COMPUTED_VALUE"""),"")</f>
        <v/>
      </c>
      <c r="F996" s="46" t="str">
        <f>IFERROR(__xludf.DUMMYFUNCTION("""COMPUTED_VALUE"""),"")</f>
        <v/>
      </c>
      <c r="G996" s="46"/>
      <c r="H996" s="46"/>
      <c r="I996" s="46"/>
      <c r="J996" s="46"/>
      <c r="K996" s="46"/>
      <c r="L996" s="46"/>
      <c r="M996" s="46"/>
      <c r="N996" s="46"/>
      <c r="O996" s="46"/>
      <c r="P996" s="46"/>
      <c r="Q996" s="46"/>
      <c r="R996" s="46"/>
      <c r="S996" s="46"/>
      <c r="T996" s="46"/>
      <c r="U996" s="46"/>
      <c r="V996" s="46"/>
      <c r="W996" s="46"/>
      <c r="X996" s="46"/>
      <c r="Y996" s="46"/>
      <c r="Z996" s="46"/>
      <c r="AA996" s="46"/>
    </row>
    <row r="997">
      <c r="A997" s="46"/>
      <c r="B997" s="46"/>
      <c r="C997" s="46"/>
      <c r="D997" s="46"/>
      <c r="E997" s="57" t="str">
        <f>IFERROR(__xludf.DUMMYFUNCTION("""COMPUTED_VALUE"""),"")</f>
        <v/>
      </c>
      <c r="F997" s="46" t="str">
        <f>IFERROR(__xludf.DUMMYFUNCTION("""COMPUTED_VALUE"""),"")</f>
        <v/>
      </c>
      <c r="G997" s="46"/>
      <c r="H997" s="46"/>
      <c r="I997" s="46"/>
      <c r="J997" s="46"/>
      <c r="K997" s="46"/>
      <c r="L997" s="46"/>
      <c r="M997" s="46"/>
      <c r="N997" s="46"/>
      <c r="O997" s="46"/>
      <c r="P997" s="46"/>
      <c r="Q997" s="46"/>
      <c r="R997" s="46"/>
      <c r="S997" s="46"/>
      <c r="T997" s="46"/>
      <c r="U997" s="46"/>
      <c r="V997" s="46"/>
      <c r="W997" s="46"/>
      <c r="X997" s="46"/>
      <c r="Y997" s="46"/>
      <c r="Z997" s="46"/>
      <c r="AA997" s="46"/>
    </row>
    <row r="998">
      <c r="A998" s="46"/>
      <c r="B998" s="46"/>
      <c r="C998" s="46"/>
      <c r="D998" s="46"/>
      <c r="E998" s="57" t="str">
        <f>IFERROR(__xludf.DUMMYFUNCTION("""COMPUTED_VALUE"""),"")</f>
        <v/>
      </c>
      <c r="F998" s="46" t="str">
        <f>IFERROR(__xludf.DUMMYFUNCTION("""COMPUTED_VALUE"""),"")</f>
        <v/>
      </c>
      <c r="G998" s="46"/>
      <c r="H998" s="46"/>
      <c r="I998" s="46"/>
      <c r="J998" s="46"/>
      <c r="K998" s="46"/>
      <c r="L998" s="46"/>
      <c r="M998" s="46"/>
      <c r="N998" s="46"/>
      <c r="O998" s="46"/>
      <c r="P998" s="46"/>
      <c r="Q998" s="46"/>
      <c r="R998" s="46"/>
      <c r="S998" s="46"/>
      <c r="T998" s="46"/>
      <c r="U998" s="46"/>
      <c r="V998" s="46"/>
      <c r="W998" s="46"/>
      <c r="X998" s="46"/>
      <c r="Y998" s="46"/>
      <c r="Z998" s="46"/>
      <c r="AA998" s="46"/>
    </row>
    <row r="999">
      <c r="A999" s="46"/>
      <c r="B999" s="46"/>
      <c r="C999" s="46"/>
      <c r="D999" s="46"/>
      <c r="E999" s="57" t="str">
        <f>IFERROR(__xludf.DUMMYFUNCTION("""COMPUTED_VALUE"""),"")</f>
        <v/>
      </c>
      <c r="F999" s="46" t="str">
        <f>IFERROR(__xludf.DUMMYFUNCTION("""COMPUTED_VALUE"""),"")</f>
        <v/>
      </c>
      <c r="G999" s="46"/>
      <c r="H999" s="46"/>
      <c r="I999" s="46"/>
      <c r="J999" s="46"/>
      <c r="K999" s="46"/>
      <c r="L999" s="46"/>
      <c r="M999" s="46"/>
      <c r="N999" s="46"/>
      <c r="O999" s="46"/>
      <c r="P999" s="46"/>
      <c r="Q999" s="46"/>
      <c r="R999" s="46"/>
      <c r="S999" s="46"/>
      <c r="T999" s="46"/>
      <c r="U999" s="46"/>
      <c r="V999" s="46"/>
      <c r="W999" s="46"/>
      <c r="X999" s="46"/>
      <c r="Y999" s="46"/>
      <c r="Z999" s="46"/>
      <c r="AA999" s="46"/>
    </row>
    <row r="1000">
      <c r="A1000" s="46"/>
      <c r="B1000" s="46"/>
      <c r="C1000" s="46"/>
      <c r="D1000" s="46"/>
      <c r="E1000" s="57" t="str">
        <f>IFERROR(__xludf.DUMMYFUNCTION("""COMPUTED_VALUE"""),"")</f>
        <v/>
      </c>
      <c r="F1000" s="46" t="str">
        <f>IFERROR(__xludf.DUMMYFUNCTION("""COMPUTED_VALUE"""),"")</f>
        <v/>
      </c>
      <c r="G1000" s="46"/>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46"/>
      <c r="B1001" s="46"/>
      <c r="C1001" s="46"/>
      <c r="D1001" s="46"/>
      <c r="E1001" s="46"/>
      <c r="F1001" s="46"/>
      <c r="G1001" s="46"/>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46"/>
      <c r="B1002" s="46"/>
      <c r="C1002" s="46"/>
      <c r="D1002" s="46"/>
      <c r="E1002" s="46"/>
      <c r="F1002" s="46"/>
      <c r="G1002" s="46"/>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46"/>
      <c r="B1003" s="46"/>
      <c r="C1003" s="46"/>
      <c r="D1003" s="46"/>
      <c r="E1003" s="46"/>
      <c r="F1003" s="46"/>
      <c r="G1003" s="46"/>
      <c r="H1003" s="46"/>
      <c r="I1003" s="46"/>
      <c r="J1003" s="46"/>
      <c r="K1003" s="46"/>
      <c r="L1003" s="46"/>
      <c r="M1003" s="46"/>
      <c r="N1003" s="46"/>
      <c r="O1003" s="46"/>
      <c r="P1003" s="46"/>
      <c r="Q1003" s="46"/>
      <c r="R1003" s="46"/>
      <c r="S1003" s="46"/>
      <c r="T1003" s="46"/>
      <c r="U1003" s="46"/>
      <c r="V1003" s="46"/>
      <c r="W1003" s="46"/>
      <c r="X1003" s="46"/>
      <c r="Y1003" s="46"/>
      <c r="Z1003" s="46"/>
      <c r="AA1003" s="46"/>
    </row>
    <row r="1004">
      <c r="A1004" s="46"/>
      <c r="B1004" s="46"/>
      <c r="C1004" s="46"/>
      <c r="D1004" s="46"/>
      <c r="E1004" s="46"/>
      <c r="F1004" s="46"/>
      <c r="G1004" s="46"/>
      <c r="H1004" s="46"/>
      <c r="I1004" s="46"/>
      <c r="J1004" s="46"/>
      <c r="K1004" s="46"/>
      <c r="L1004" s="46"/>
      <c r="M1004" s="46"/>
      <c r="N1004" s="46"/>
      <c r="O1004" s="46"/>
      <c r="P1004" s="46"/>
      <c r="Q1004" s="46"/>
      <c r="R1004" s="46"/>
      <c r="S1004" s="46"/>
      <c r="T1004" s="46"/>
      <c r="U1004" s="46"/>
      <c r="V1004" s="46"/>
      <c r="W1004" s="46"/>
      <c r="X1004" s="46"/>
      <c r="Y1004" s="46"/>
      <c r="Z1004" s="46"/>
      <c r="AA1004" s="46"/>
    </row>
    <row r="1005">
      <c r="A1005" s="46"/>
      <c r="B1005" s="46"/>
      <c r="C1005" s="46"/>
      <c r="D1005" s="46"/>
      <c r="E1005" s="46"/>
      <c r="F1005" s="46"/>
      <c r="G1005" s="46"/>
      <c r="H1005" s="46"/>
      <c r="I1005" s="46"/>
      <c r="J1005" s="46"/>
      <c r="K1005" s="46"/>
      <c r="L1005" s="46"/>
      <c r="M1005" s="46"/>
      <c r="N1005" s="46"/>
      <c r="O1005" s="46"/>
      <c r="P1005" s="46"/>
      <c r="Q1005" s="46"/>
      <c r="R1005" s="46"/>
      <c r="S1005" s="46"/>
      <c r="T1005" s="46"/>
      <c r="U1005" s="46"/>
      <c r="V1005" s="46"/>
      <c r="W1005" s="46"/>
      <c r="X1005" s="46"/>
      <c r="Y1005" s="46"/>
      <c r="Z1005" s="46"/>
      <c r="AA1005" s="46"/>
    </row>
    <row r="1006">
      <c r="A1006" s="46"/>
      <c r="B1006" s="46"/>
      <c r="C1006" s="46"/>
      <c r="D1006" s="46"/>
      <c r="E1006" s="46"/>
      <c r="F1006" s="46"/>
      <c r="G1006" s="46"/>
      <c r="H1006" s="46"/>
      <c r="I1006" s="46"/>
      <c r="J1006" s="46"/>
      <c r="K1006" s="46"/>
      <c r="L1006" s="46"/>
      <c r="M1006" s="46"/>
      <c r="N1006" s="46"/>
      <c r="O1006" s="46"/>
      <c r="P1006" s="46"/>
      <c r="Q1006" s="46"/>
      <c r="R1006" s="46"/>
      <c r="S1006" s="46"/>
      <c r="T1006" s="46"/>
      <c r="U1006" s="46"/>
      <c r="V1006" s="46"/>
      <c r="W1006" s="46"/>
      <c r="X1006" s="46"/>
      <c r="Y1006" s="46"/>
      <c r="Z1006" s="46"/>
      <c r="AA1006" s="46"/>
    </row>
    <row r="1007">
      <c r="A1007" s="46"/>
      <c r="B1007" s="46"/>
      <c r="C1007" s="46"/>
      <c r="D1007" s="46"/>
      <c r="E1007" s="46"/>
      <c r="F1007" s="46"/>
      <c r="G1007" s="46"/>
      <c r="H1007" s="46"/>
      <c r="I1007" s="46"/>
      <c r="J1007" s="46"/>
      <c r="K1007" s="46"/>
      <c r="L1007" s="46"/>
      <c r="M1007" s="46"/>
      <c r="N1007" s="46"/>
      <c r="O1007" s="46"/>
      <c r="P1007" s="46"/>
      <c r="Q1007" s="46"/>
      <c r="R1007" s="46"/>
      <c r="S1007" s="46"/>
      <c r="T1007" s="46"/>
      <c r="U1007" s="46"/>
      <c r="V1007" s="46"/>
      <c r="W1007" s="46"/>
      <c r="X1007" s="46"/>
      <c r="Y1007" s="46"/>
      <c r="Z1007" s="46"/>
      <c r="AA1007" s="46"/>
    </row>
    <row r="1008">
      <c r="A1008" s="46"/>
      <c r="B1008" s="46"/>
      <c r="C1008" s="46"/>
      <c r="D1008" s="46"/>
      <c r="E1008" s="46"/>
      <c r="F1008" s="46"/>
      <c r="G1008" s="46"/>
      <c r="H1008" s="46"/>
      <c r="I1008" s="46"/>
      <c r="J1008" s="46"/>
      <c r="K1008" s="46"/>
      <c r="L1008" s="46"/>
      <c r="M1008" s="46"/>
      <c r="N1008" s="46"/>
      <c r="O1008" s="46"/>
      <c r="P1008" s="46"/>
      <c r="Q1008" s="46"/>
      <c r="R1008" s="46"/>
      <c r="S1008" s="46"/>
      <c r="T1008" s="46"/>
      <c r="U1008" s="46"/>
      <c r="V1008" s="46"/>
      <c r="W1008" s="46"/>
      <c r="X1008" s="46"/>
      <c r="Y1008" s="46"/>
      <c r="Z1008" s="46"/>
      <c r="AA1008" s="46"/>
    </row>
    <row r="1009">
      <c r="A1009" s="46"/>
      <c r="B1009" s="46"/>
      <c r="C1009" s="46"/>
      <c r="D1009" s="46"/>
      <c r="E1009" s="46"/>
      <c r="F1009" s="46"/>
      <c r="G1009" s="46"/>
      <c r="H1009" s="46"/>
      <c r="I1009" s="46"/>
      <c r="J1009" s="46"/>
      <c r="K1009" s="46"/>
      <c r="L1009" s="46"/>
      <c r="M1009" s="46"/>
      <c r="N1009" s="46"/>
      <c r="O1009" s="46"/>
      <c r="P1009" s="46"/>
      <c r="Q1009" s="46"/>
      <c r="R1009" s="46"/>
      <c r="S1009" s="46"/>
      <c r="T1009" s="46"/>
      <c r="U1009" s="46"/>
      <c r="V1009" s="46"/>
      <c r="W1009" s="46"/>
      <c r="X1009" s="46"/>
      <c r="Y1009" s="46"/>
      <c r="Z1009" s="46"/>
      <c r="AA1009" s="46"/>
    </row>
    <row r="1010">
      <c r="A1010" s="46"/>
      <c r="B1010" s="46"/>
      <c r="C1010" s="46"/>
      <c r="D1010" s="46"/>
      <c r="E1010" s="46"/>
      <c r="F1010" s="46"/>
      <c r="G1010" s="46"/>
      <c r="H1010" s="46"/>
      <c r="I1010" s="46"/>
      <c r="J1010" s="46"/>
      <c r="K1010" s="46"/>
      <c r="L1010" s="46"/>
      <c r="M1010" s="46"/>
      <c r="N1010" s="46"/>
      <c r="O1010" s="46"/>
      <c r="P1010" s="46"/>
      <c r="Q1010" s="46"/>
      <c r="R1010" s="46"/>
      <c r="S1010" s="46"/>
      <c r="T1010" s="46"/>
      <c r="U1010" s="46"/>
      <c r="V1010" s="46"/>
      <c r="W1010" s="46"/>
      <c r="X1010" s="46"/>
      <c r="Y1010" s="46"/>
      <c r="Z1010" s="46"/>
      <c r="AA1010" s="46"/>
    </row>
    <row r="1011">
      <c r="A1011" s="46"/>
      <c r="B1011" s="46"/>
      <c r="C1011" s="46"/>
      <c r="D1011" s="46"/>
      <c r="E1011" s="46"/>
      <c r="F1011" s="46"/>
      <c r="G1011" s="46"/>
      <c r="H1011" s="46"/>
      <c r="I1011" s="46"/>
      <c r="J1011" s="46"/>
      <c r="K1011" s="46"/>
      <c r="L1011" s="46"/>
      <c r="M1011" s="46"/>
      <c r="N1011" s="46"/>
      <c r="O1011" s="46"/>
      <c r="P1011" s="46"/>
      <c r="Q1011" s="46"/>
      <c r="R1011" s="46"/>
      <c r="S1011" s="46"/>
      <c r="T1011" s="46"/>
      <c r="U1011" s="46"/>
      <c r="V1011" s="46"/>
      <c r="W1011" s="46"/>
      <c r="X1011" s="46"/>
      <c r="Y1011" s="46"/>
      <c r="Z1011" s="46"/>
      <c r="AA1011" s="46"/>
    </row>
    <row r="1012">
      <c r="A1012" s="46"/>
      <c r="B1012" s="46"/>
      <c r="C1012" s="46"/>
      <c r="D1012" s="46"/>
      <c r="E1012" s="46"/>
      <c r="F1012" s="46"/>
      <c r="G1012" s="46"/>
      <c r="H1012" s="46"/>
      <c r="I1012" s="46"/>
      <c r="J1012" s="46"/>
      <c r="K1012" s="46"/>
      <c r="L1012" s="46"/>
      <c r="M1012" s="46"/>
      <c r="N1012" s="46"/>
      <c r="O1012" s="46"/>
      <c r="P1012" s="46"/>
      <c r="Q1012" s="46"/>
      <c r="R1012" s="46"/>
      <c r="S1012" s="46"/>
      <c r="T1012" s="46"/>
      <c r="U1012" s="46"/>
      <c r="V1012" s="46"/>
      <c r="W1012" s="46"/>
      <c r="X1012" s="46"/>
      <c r="Y1012" s="46"/>
      <c r="Z1012" s="46"/>
      <c r="AA1012" s="46"/>
    </row>
    <row r="1013">
      <c r="A1013" s="46"/>
      <c r="B1013" s="46"/>
      <c r="C1013" s="46"/>
      <c r="D1013" s="46"/>
      <c r="E1013" s="46"/>
      <c r="F1013" s="46"/>
      <c r="G1013" s="46"/>
      <c r="H1013" s="46"/>
      <c r="I1013" s="46"/>
      <c r="J1013" s="46"/>
      <c r="K1013" s="46"/>
      <c r="L1013" s="46"/>
      <c r="M1013" s="46"/>
      <c r="N1013" s="46"/>
      <c r="O1013" s="46"/>
      <c r="P1013" s="46"/>
      <c r="Q1013" s="46"/>
      <c r="R1013" s="46"/>
      <c r="S1013" s="46"/>
      <c r="T1013" s="46"/>
      <c r="U1013" s="46"/>
      <c r="V1013" s="46"/>
      <c r="W1013" s="46"/>
      <c r="X1013" s="46"/>
      <c r="Y1013" s="46"/>
      <c r="Z1013" s="46"/>
      <c r="AA1013" s="46"/>
    </row>
    <row r="1014">
      <c r="A1014" s="46"/>
      <c r="B1014" s="46"/>
      <c r="C1014" s="46"/>
      <c r="D1014" s="46"/>
      <c r="E1014" s="46"/>
      <c r="F1014" s="46"/>
      <c r="G1014" s="46"/>
      <c r="H1014" s="46"/>
      <c r="I1014" s="46"/>
      <c r="J1014" s="46"/>
      <c r="K1014" s="46"/>
      <c r="L1014" s="46"/>
      <c r="M1014" s="46"/>
      <c r="N1014" s="46"/>
      <c r="O1014" s="46"/>
      <c r="P1014" s="46"/>
      <c r="Q1014" s="46"/>
      <c r="R1014" s="46"/>
      <c r="S1014" s="46"/>
      <c r="T1014" s="46"/>
      <c r="U1014" s="46"/>
      <c r="V1014" s="46"/>
      <c r="W1014" s="46"/>
      <c r="X1014" s="46"/>
      <c r="Y1014" s="46"/>
      <c r="Z1014" s="46"/>
      <c r="AA1014" s="46"/>
    </row>
    <row r="1015">
      <c r="A1015" s="46"/>
      <c r="B1015" s="46"/>
      <c r="C1015" s="46"/>
      <c r="D1015" s="46"/>
      <c r="E1015" s="46"/>
      <c r="F1015" s="46"/>
      <c r="G1015" s="46"/>
      <c r="H1015" s="46"/>
      <c r="I1015" s="46"/>
      <c r="J1015" s="46"/>
      <c r="K1015" s="46"/>
      <c r="L1015" s="46"/>
      <c r="M1015" s="46"/>
      <c r="N1015" s="46"/>
      <c r="O1015" s="46"/>
      <c r="P1015" s="46"/>
      <c r="Q1015" s="46"/>
      <c r="R1015" s="46"/>
      <c r="S1015" s="46"/>
      <c r="T1015" s="46"/>
      <c r="U1015" s="46"/>
      <c r="V1015" s="46"/>
      <c r="W1015" s="46"/>
      <c r="X1015" s="46"/>
      <c r="Y1015" s="46"/>
      <c r="Z1015" s="46"/>
      <c r="AA1015" s="46"/>
    </row>
    <row r="1016">
      <c r="A1016" s="46"/>
      <c r="B1016" s="46"/>
      <c r="C1016" s="46"/>
      <c r="D1016" s="46"/>
      <c r="E1016" s="46"/>
      <c r="F1016" s="46"/>
      <c r="G1016" s="46"/>
      <c r="H1016" s="46"/>
      <c r="I1016" s="46"/>
      <c r="J1016" s="46"/>
      <c r="K1016" s="46"/>
      <c r="L1016" s="46"/>
      <c r="M1016" s="46"/>
      <c r="N1016" s="46"/>
      <c r="O1016" s="46"/>
      <c r="P1016" s="46"/>
      <c r="Q1016" s="46"/>
      <c r="R1016" s="46"/>
      <c r="S1016" s="46"/>
      <c r="T1016" s="46"/>
      <c r="U1016" s="46"/>
      <c r="V1016" s="46"/>
      <c r="W1016" s="46"/>
      <c r="X1016" s="46"/>
      <c r="Y1016" s="46"/>
      <c r="Z1016" s="46"/>
      <c r="AA1016" s="46"/>
    </row>
    <row r="1017">
      <c r="A1017" s="46"/>
      <c r="B1017" s="46"/>
      <c r="C1017" s="46"/>
      <c r="D1017" s="46"/>
      <c r="E1017" s="46"/>
      <c r="F1017" s="46"/>
      <c r="G1017" s="46"/>
      <c r="H1017" s="46"/>
      <c r="I1017" s="46"/>
      <c r="J1017" s="46"/>
      <c r="K1017" s="46"/>
      <c r="L1017" s="46"/>
      <c r="M1017" s="46"/>
      <c r="N1017" s="46"/>
      <c r="O1017" s="46"/>
      <c r="P1017" s="46"/>
      <c r="Q1017" s="46"/>
      <c r="R1017" s="46"/>
      <c r="S1017" s="46"/>
      <c r="T1017" s="46"/>
      <c r="U1017" s="46"/>
      <c r="V1017" s="46"/>
      <c r="W1017" s="46"/>
      <c r="X1017" s="46"/>
      <c r="Y1017" s="46"/>
      <c r="Z1017" s="46"/>
      <c r="AA1017" s="46"/>
    </row>
    <row r="1018">
      <c r="A1018" s="46"/>
      <c r="B1018" s="46"/>
      <c r="C1018" s="46"/>
      <c r="D1018" s="46"/>
      <c r="E1018" s="46"/>
      <c r="F1018" s="46"/>
      <c r="G1018" s="46"/>
      <c r="H1018" s="46"/>
      <c r="I1018" s="46"/>
      <c r="J1018" s="46"/>
      <c r="K1018" s="46"/>
      <c r="L1018" s="46"/>
      <c r="M1018" s="46"/>
      <c r="N1018" s="46"/>
      <c r="O1018" s="46"/>
      <c r="P1018" s="46"/>
      <c r="Q1018" s="46"/>
      <c r="R1018" s="46"/>
      <c r="S1018" s="46"/>
      <c r="T1018" s="46"/>
      <c r="U1018" s="46"/>
      <c r="V1018" s="46"/>
      <c r="W1018" s="46"/>
      <c r="X1018" s="46"/>
      <c r="Y1018" s="46"/>
      <c r="Z1018" s="46"/>
      <c r="AA1018" s="46"/>
    </row>
    <row r="1019">
      <c r="A1019" s="46"/>
      <c r="B1019" s="46"/>
      <c r="C1019" s="46"/>
      <c r="D1019" s="46"/>
      <c r="E1019" s="46"/>
      <c r="F1019" s="46"/>
      <c r="G1019" s="46"/>
      <c r="H1019" s="46"/>
      <c r="I1019" s="46"/>
      <c r="J1019" s="46"/>
      <c r="K1019" s="46"/>
      <c r="L1019" s="46"/>
      <c r="M1019" s="46"/>
      <c r="N1019" s="46"/>
      <c r="O1019" s="46"/>
      <c r="P1019" s="46"/>
      <c r="Q1019" s="46"/>
      <c r="R1019" s="46"/>
      <c r="S1019" s="46"/>
      <c r="T1019" s="46"/>
      <c r="U1019" s="46"/>
      <c r="V1019" s="46"/>
      <c r="W1019" s="46"/>
      <c r="X1019" s="46"/>
      <c r="Y1019" s="46"/>
      <c r="Z1019" s="46"/>
      <c r="AA1019" s="46"/>
    </row>
    <row r="1020">
      <c r="A1020" s="46"/>
      <c r="B1020" s="46"/>
      <c r="C1020" s="46"/>
      <c r="D1020" s="46"/>
      <c r="E1020" s="46"/>
      <c r="F1020" s="46"/>
      <c r="G1020" s="46"/>
      <c r="H1020" s="46"/>
      <c r="I1020" s="46"/>
      <c r="J1020" s="46"/>
      <c r="K1020" s="46"/>
      <c r="L1020" s="46"/>
      <c r="M1020" s="46"/>
      <c r="N1020" s="46"/>
      <c r="O1020" s="46"/>
      <c r="P1020" s="46"/>
      <c r="Q1020" s="46"/>
      <c r="R1020" s="46"/>
      <c r="S1020" s="46"/>
      <c r="T1020" s="46"/>
      <c r="U1020" s="46"/>
      <c r="V1020" s="46"/>
      <c r="W1020" s="46"/>
      <c r="X1020" s="46"/>
      <c r="Y1020" s="46"/>
      <c r="Z1020" s="46"/>
      <c r="AA1020" s="46"/>
    </row>
    <row r="1021">
      <c r="A1021" s="46"/>
      <c r="B1021" s="46"/>
      <c r="C1021" s="46"/>
      <c r="D1021" s="46"/>
      <c r="E1021" s="46"/>
      <c r="F1021" s="46"/>
      <c r="G1021" s="46"/>
      <c r="H1021" s="46"/>
      <c r="I1021" s="46"/>
      <c r="J1021" s="46"/>
      <c r="K1021" s="46"/>
      <c r="L1021" s="46"/>
      <c r="M1021" s="46"/>
      <c r="N1021" s="46"/>
      <c r="O1021" s="46"/>
      <c r="P1021" s="46"/>
      <c r="Q1021" s="46"/>
      <c r="R1021" s="46"/>
      <c r="S1021" s="46"/>
      <c r="T1021" s="46"/>
      <c r="U1021" s="46"/>
      <c r="V1021" s="46"/>
      <c r="W1021" s="46"/>
      <c r="X1021" s="46"/>
      <c r="Y1021" s="46"/>
      <c r="Z1021" s="46"/>
      <c r="AA1021" s="46"/>
    </row>
    <row r="1022">
      <c r="A1022" s="46"/>
      <c r="B1022" s="46"/>
      <c r="C1022" s="46"/>
      <c r="D1022" s="46"/>
      <c r="E1022" s="46"/>
      <c r="F1022" s="46"/>
      <c r="G1022" s="46"/>
      <c r="H1022" s="46"/>
      <c r="I1022" s="46"/>
      <c r="J1022" s="46"/>
      <c r="K1022" s="46"/>
      <c r="L1022" s="46"/>
      <c r="M1022" s="46"/>
      <c r="N1022" s="46"/>
      <c r="O1022" s="46"/>
      <c r="P1022" s="46"/>
      <c r="Q1022" s="46"/>
      <c r="R1022" s="46"/>
      <c r="S1022" s="46"/>
      <c r="T1022" s="46"/>
      <c r="U1022" s="46"/>
      <c r="V1022" s="46"/>
      <c r="W1022" s="46"/>
      <c r="X1022" s="46"/>
      <c r="Y1022" s="46"/>
      <c r="Z1022" s="46"/>
      <c r="AA1022" s="46"/>
    </row>
    <row r="1023">
      <c r="A1023" s="46"/>
      <c r="B1023" s="46"/>
      <c r="C1023" s="46"/>
      <c r="D1023" s="46"/>
      <c r="E1023" s="46"/>
      <c r="F1023" s="46"/>
      <c r="G1023" s="46"/>
      <c r="H1023" s="46"/>
      <c r="I1023" s="46"/>
      <c r="J1023" s="46"/>
      <c r="K1023" s="46"/>
      <c r="L1023" s="46"/>
      <c r="M1023" s="46"/>
      <c r="N1023" s="46"/>
      <c r="O1023" s="46"/>
      <c r="P1023" s="46"/>
      <c r="Q1023" s="46"/>
      <c r="R1023" s="46"/>
      <c r="S1023" s="46"/>
      <c r="T1023" s="46"/>
      <c r="U1023" s="46"/>
      <c r="V1023" s="46"/>
      <c r="W1023" s="46"/>
      <c r="X1023" s="46"/>
      <c r="Y1023" s="46"/>
      <c r="Z1023" s="46"/>
      <c r="AA1023" s="46"/>
    </row>
    <row r="1024">
      <c r="A1024" s="46"/>
      <c r="B1024" s="46"/>
      <c r="C1024" s="46"/>
      <c r="D1024" s="46"/>
      <c r="E1024" s="46"/>
      <c r="F1024" s="46"/>
      <c r="G1024" s="46"/>
      <c r="H1024" s="46"/>
      <c r="I1024" s="46"/>
      <c r="J1024" s="46"/>
      <c r="K1024" s="46"/>
      <c r="L1024" s="46"/>
      <c r="M1024" s="46"/>
      <c r="N1024" s="46"/>
      <c r="O1024" s="46"/>
      <c r="P1024" s="46"/>
      <c r="Q1024" s="46"/>
      <c r="R1024" s="46"/>
      <c r="S1024" s="46"/>
      <c r="T1024" s="46"/>
      <c r="U1024" s="46"/>
      <c r="V1024" s="46"/>
      <c r="W1024" s="46"/>
      <c r="X1024" s="46"/>
      <c r="Y1024" s="46"/>
      <c r="Z1024" s="46"/>
      <c r="AA1024" s="46"/>
    </row>
    <row r="1025">
      <c r="A1025" s="46"/>
      <c r="B1025" s="46"/>
      <c r="C1025" s="46"/>
      <c r="D1025" s="46"/>
      <c r="E1025" s="46"/>
      <c r="F1025" s="46"/>
      <c r="G1025" s="46"/>
      <c r="H1025" s="46"/>
      <c r="I1025" s="46"/>
      <c r="J1025" s="46"/>
      <c r="K1025" s="46"/>
      <c r="L1025" s="46"/>
      <c r="M1025" s="46"/>
      <c r="N1025" s="46"/>
      <c r="O1025" s="46"/>
      <c r="P1025" s="46"/>
      <c r="Q1025" s="46"/>
      <c r="R1025" s="46"/>
      <c r="S1025" s="46"/>
      <c r="T1025" s="46"/>
      <c r="U1025" s="46"/>
      <c r="V1025" s="46"/>
      <c r="W1025" s="46"/>
      <c r="X1025" s="46"/>
      <c r="Y1025" s="46"/>
      <c r="Z1025" s="46"/>
      <c r="AA1025" s="46"/>
    </row>
    <row r="1026">
      <c r="A1026" s="46"/>
      <c r="B1026" s="46"/>
      <c r="C1026" s="46"/>
      <c r="D1026" s="46"/>
      <c r="E1026" s="46"/>
      <c r="F1026" s="46"/>
      <c r="G1026" s="46"/>
      <c r="H1026" s="46"/>
      <c r="I1026" s="46"/>
      <c r="J1026" s="46"/>
      <c r="K1026" s="46"/>
      <c r="L1026" s="46"/>
      <c r="M1026" s="46"/>
      <c r="N1026" s="46"/>
      <c r="O1026" s="46"/>
      <c r="P1026" s="46"/>
      <c r="Q1026" s="46"/>
      <c r="R1026" s="46"/>
      <c r="S1026" s="46"/>
      <c r="T1026" s="46"/>
      <c r="U1026" s="46"/>
      <c r="V1026" s="46"/>
      <c r="W1026" s="46"/>
      <c r="X1026" s="46"/>
      <c r="Y1026" s="46"/>
      <c r="Z1026" s="46"/>
      <c r="AA1026" s="46"/>
    </row>
    <row r="1027">
      <c r="A1027" s="46"/>
      <c r="B1027" s="46"/>
      <c r="C1027" s="46"/>
      <c r="D1027" s="46"/>
      <c r="E1027" s="46"/>
      <c r="F1027" s="46"/>
      <c r="G1027" s="46"/>
      <c r="H1027" s="46"/>
      <c r="I1027" s="46"/>
      <c r="J1027" s="46"/>
      <c r="K1027" s="46"/>
      <c r="L1027" s="46"/>
      <c r="M1027" s="46"/>
      <c r="N1027" s="46"/>
      <c r="O1027" s="46"/>
      <c r="P1027" s="46"/>
      <c r="Q1027" s="46"/>
      <c r="R1027" s="46"/>
      <c r="S1027" s="46"/>
      <c r="T1027" s="46"/>
      <c r="U1027" s="46"/>
      <c r="V1027" s="46"/>
      <c r="W1027" s="46"/>
      <c r="X1027" s="46"/>
      <c r="Y1027" s="46"/>
      <c r="Z1027" s="46"/>
      <c r="AA1027" s="46"/>
    </row>
    <row r="1028">
      <c r="A1028" s="46"/>
      <c r="B1028" s="46"/>
      <c r="C1028" s="46"/>
      <c r="D1028" s="46"/>
      <c r="E1028" s="46"/>
      <c r="F1028" s="46"/>
      <c r="G1028" s="46"/>
      <c r="H1028" s="46"/>
      <c r="I1028" s="46"/>
      <c r="J1028" s="46"/>
      <c r="K1028" s="46"/>
      <c r="L1028" s="46"/>
      <c r="M1028" s="46"/>
      <c r="N1028" s="46"/>
      <c r="O1028" s="46"/>
      <c r="P1028" s="46"/>
      <c r="Q1028" s="46"/>
      <c r="R1028" s="46"/>
      <c r="S1028" s="46"/>
      <c r="T1028" s="46"/>
      <c r="U1028" s="46"/>
      <c r="V1028" s="46"/>
      <c r="W1028" s="46"/>
      <c r="X1028" s="46"/>
      <c r="Y1028" s="46"/>
      <c r="Z1028" s="46"/>
      <c r="AA1028" s="46"/>
    </row>
    <row r="1029">
      <c r="A1029" s="46"/>
      <c r="B1029" s="46"/>
      <c r="C1029" s="46"/>
      <c r="D1029" s="46"/>
      <c r="E1029" s="46"/>
      <c r="F1029" s="46"/>
      <c r="G1029" s="46"/>
      <c r="H1029" s="46"/>
      <c r="I1029" s="46"/>
      <c r="J1029" s="46"/>
      <c r="K1029" s="46"/>
      <c r="L1029" s="46"/>
      <c r="M1029" s="46"/>
      <c r="N1029" s="46"/>
      <c r="O1029" s="46"/>
      <c r="P1029" s="46"/>
      <c r="Q1029" s="46"/>
      <c r="R1029" s="46"/>
      <c r="S1029" s="46"/>
      <c r="T1029" s="46"/>
      <c r="U1029" s="46"/>
      <c r="V1029" s="46"/>
      <c r="W1029" s="46"/>
      <c r="X1029" s="46"/>
      <c r="Y1029" s="46"/>
      <c r="Z1029" s="46"/>
      <c r="AA1029" s="46"/>
    </row>
    <row r="1030">
      <c r="A1030" s="46"/>
      <c r="B1030" s="46"/>
      <c r="C1030" s="46"/>
      <c r="D1030" s="46"/>
      <c r="E1030" s="46"/>
      <c r="F1030" s="46"/>
      <c r="G1030" s="46"/>
      <c r="H1030" s="46"/>
      <c r="I1030" s="46"/>
      <c r="J1030" s="46"/>
      <c r="K1030" s="46"/>
      <c r="L1030" s="46"/>
      <c r="M1030" s="46"/>
      <c r="N1030" s="46"/>
      <c r="O1030" s="46"/>
      <c r="P1030" s="46"/>
      <c r="Q1030" s="46"/>
      <c r="R1030" s="46"/>
      <c r="S1030" s="46"/>
      <c r="T1030" s="46"/>
      <c r="U1030" s="46"/>
      <c r="V1030" s="46"/>
      <c r="W1030" s="46"/>
      <c r="X1030" s="46"/>
      <c r="Y1030" s="46"/>
      <c r="Z1030" s="46"/>
      <c r="AA1030" s="46"/>
    </row>
    <row r="1031">
      <c r="A1031" s="46"/>
      <c r="B1031" s="46"/>
      <c r="C1031" s="46"/>
      <c r="D1031" s="46"/>
      <c r="E1031" s="46"/>
      <c r="F1031" s="46"/>
      <c r="G1031" s="46"/>
      <c r="H1031" s="46"/>
      <c r="I1031" s="46"/>
      <c r="J1031" s="46"/>
      <c r="K1031" s="46"/>
      <c r="L1031" s="46"/>
      <c r="M1031" s="46"/>
      <c r="N1031" s="46"/>
      <c r="O1031" s="46"/>
      <c r="P1031" s="46"/>
      <c r="Q1031" s="46"/>
      <c r="R1031" s="46"/>
      <c r="S1031" s="46"/>
      <c r="T1031" s="46"/>
      <c r="U1031" s="46"/>
      <c r="V1031" s="46"/>
      <c r="W1031" s="46"/>
      <c r="X1031" s="46"/>
      <c r="Y1031" s="46"/>
      <c r="Z1031" s="46"/>
      <c r="AA1031" s="46"/>
    </row>
    <row r="1032">
      <c r="A1032" s="46"/>
      <c r="B1032" s="46"/>
      <c r="C1032" s="46"/>
      <c r="D1032" s="46"/>
      <c r="E1032" s="46"/>
      <c r="F1032" s="46"/>
      <c r="G1032" s="46"/>
      <c r="H1032" s="46"/>
      <c r="I1032" s="46"/>
      <c r="J1032" s="46"/>
      <c r="K1032" s="46"/>
      <c r="L1032" s="46"/>
      <c r="M1032" s="46"/>
      <c r="N1032" s="46"/>
      <c r="O1032" s="46"/>
      <c r="P1032" s="46"/>
      <c r="Q1032" s="46"/>
      <c r="R1032" s="46"/>
      <c r="S1032" s="46"/>
      <c r="T1032" s="46"/>
      <c r="U1032" s="46"/>
      <c r="V1032" s="46"/>
      <c r="W1032" s="46"/>
      <c r="X1032" s="46"/>
      <c r="Y1032" s="46"/>
      <c r="Z1032" s="46"/>
      <c r="AA1032" s="46"/>
    </row>
    <row r="1033">
      <c r="A1033" s="46"/>
      <c r="B1033" s="46"/>
      <c r="C1033" s="46"/>
      <c r="D1033" s="46"/>
      <c r="E1033" s="46"/>
      <c r="F1033" s="46"/>
      <c r="G1033" s="46"/>
      <c r="H1033" s="46"/>
      <c r="I1033" s="46"/>
      <c r="J1033" s="46"/>
      <c r="K1033" s="46"/>
      <c r="L1033" s="46"/>
      <c r="M1033" s="46"/>
      <c r="N1033" s="46"/>
      <c r="O1033" s="46"/>
      <c r="P1033" s="46"/>
      <c r="Q1033" s="46"/>
      <c r="R1033" s="46"/>
      <c r="S1033" s="46"/>
      <c r="T1033" s="46"/>
      <c r="U1033" s="46"/>
      <c r="V1033" s="46"/>
      <c r="W1033" s="46"/>
      <c r="X1033" s="46"/>
      <c r="Y1033" s="46"/>
      <c r="Z1033" s="46"/>
      <c r="AA1033" s="46"/>
    </row>
    <row r="1034">
      <c r="A1034" s="46"/>
      <c r="B1034" s="46"/>
      <c r="C1034" s="46"/>
      <c r="D1034" s="46"/>
      <c r="E1034" s="46"/>
      <c r="F1034" s="46"/>
      <c r="G1034" s="46"/>
      <c r="H1034" s="46"/>
      <c r="I1034" s="46"/>
      <c r="J1034" s="46"/>
      <c r="K1034" s="46"/>
      <c r="L1034" s="46"/>
      <c r="M1034" s="46"/>
      <c r="N1034" s="46"/>
      <c r="O1034" s="46"/>
      <c r="P1034" s="46"/>
      <c r="Q1034" s="46"/>
      <c r="R1034" s="46"/>
      <c r="S1034" s="46"/>
      <c r="T1034" s="46"/>
      <c r="U1034" s="46"/>
      <c r="V1034" s="46"/>
      <c r="W1034" s="46"/>
      <c r="X1034" s="46"/>
      <c r="Y1034" s="46"/>
      <c r="Z1034" s="46"/>
      <c r="AA1034" s="46"/>
    </row>
    <row r="1035">
      <c r="A1035" s="46"/>
      <c r="B1035" s="46"/>
      <c r="C1035" s="46"/>
      <c r="D1035" s="46"/>
      <c r="E1035" s="46"/>
      <c r="F1035" s="46"/>
      <c r="G1035" s="46"/>
      <c r="H1035" s="46"/>
      <c r="I1035" s="46"/>
      <c r="J1035" s="46"/>
      <c r="K1035" s="46"/>
      <c r="L1035" s="46"/>
      <c r="M1035" s="46"/>
      <c r="N1035" s="46"/>
      <c r="O1035" s="46"/>
      <c r="P1035" s="46"/>
      <c r="Q1035" s="46"/>
      <c r="R1035" s="46"/>
      <c r="S1035" s="46"/>
      <c r="T1035" s="46"/>
      <c r="U1035" s="46"/>
      <c r="V1035" s="46"/>
      <c r="W1035" s="46"/>
      <c r="X1035" s="46"/>
      <c r="Y1035" s="46"/>
      <c r="Z1035" s="46"/>
      <c r="AA1035" s="46"/>
    </row>
    <row r="1036">
      <c r="A1036" s="46"/>
      <c r="B1036" s="46"/>
      <c r="C1036" s="46"/>
      <c r="D1036" s="46"/>
      <c r="E1036" s="46"/>
      <c r="F1036" s="46"/>
      <c r="G1036" s="46"/>
      <c r="H1036" s="46"/>
      <c r="I1036" s="46"/>
      <c r="J1036" s="46"/>
      <c r="K1036" s="46"/>
      <c r="L1036" s="46"/>
      <c r="M1036" s="46"/>
      <c r="N1036" s="46"/>
      <c r="O1036" s="46"/>
      <c r="P1036" s="46"/>
      <c r="Q1036" s="46"/>
      <c r="R1036" s="46"/>
      <c r="S1036" s="46"/>
      <c r="T1036" s="46"/>
      <c r="U1036" s="46"/>
      <c r="V1036" s="46"/>
      <c r="W1036" s="46"/>
      <c r="X1036" s="46"/>
      <c r="Y1036" s="46"/>
      <c r="Z1036" s="46"/>
      <c r="AA1036" s="46"/>
    </row>
    <row r="1037">
      <c r="A1037" s="46"/>
      <c r="B1037" s="46"/>
      <c r="C1037" s="46"/>
      <c r="D1037" s="46"/>
      <c r="E1037" s="46"/>
      <c r="F1037" s="46"/>
      <c r="G1037" s="46"/>
      <c r="H1037" s="46"/>
      <c r="I1037" s="46"/>
      <c r="J1037" s="46"/>
      <c r="K1037" s="46"/>
      <c r="L1037" s="46"/>
      <c r="M1037" s="46"/>
      <c r="N1037" s="46"/>
      <c r="O1037" s="46"/>
      <c r="P1037" s="46"/>
      <c r="Q1037" s="46"/>
      <c r="R1037" s="46"/>
      <c r="S1037" s="46"/>
      <c r="T1037" s="46"/>
      <c r="U1037" s="46"/>
      <c r="V1037" s="46"/>
      <c r="W1037" s="46"/>
      <c r="X1037" s="46"/>
      <c r="Y1037" s="46"/>
      <c r="Z1037" s="46"/>
      <c r="AA1037" s="46"/>
    </row>
    <row r="1038">
      <c r="A1038" s="46"/>
      <c r="B1038" s="46"/>
      <c r="C1038" s="46"/>
      <c r="D1038" s="46"/>
      <c r="E1038" s="46"/>
      <c r="F1038" s="46"/>
      <c r="G1038" s="46"/>
      <c r="H1038" s="46"/>
      <c r="I1038" s="46"/>
      <c r="J1038" s="46"/>
      <c r="K1038" s="46"/>
      <c r="L1038" s="46"/>
      <c r="M1038" s="46"/>
      <c r="N1038" s="46"/>
      <c r="O1038" s="46"/>
      <c r="P1038" s="46"/>
      <c r="Q1038" s="46"/>
      <c r="R1038" s="46"/>
      <c r="S1038" s="46"/>
      <c r="T1038" s="46"/>
      <c r="U1038" s="46"/>
      <c r="V1038" s="46"/>
      <c r="W1038" s="46"/>
      <c r="X1038" s="46"/>
      <c r="Y1038" s="46"/>
      <c r="Z1038" s="46"/>
      <c r="AA1038" s="46"/>
    </row>
    <row r="1039">
      <c r="A1039" s="46"/>
      <c r="B1039" s="46"/>
      <c r="C1039" s="46"/>
      <c r="D1039" s="46"/>
      <c r="E1039" s="46"/>
      <c r="F1039" s="46"/>
      <c r="G1039" s="46"/>
      <c r="H1039" s="46"/>
      <c r="I1039" s="46"/>
      <c r="J1039" s="46"/>
      <c r="K1039" s="46"/>
      <c r="L1039" s="46"/>
      <c r="M1039" s="46"/>
      <c r="N1039" s="46"/>
      <c r="O1039" s="46"/>
      <c r="P1039" s="46"/>
      <c r="Q1039" s="46"/>
      <c r="R1039" s="46"/>
      <c r="S1039" s="46"/>
      <c r="T1039" s="46"/>
      <c r="U1039" s="46"/>
      <c r="V1039" s="46"/>
      <c r="W1039" s="46"/>
      <c r="X1039" s="46"/>
      <c r="Y1039" s="46"/>
      <c r="Z1039" s="46"/>
      <c r="AA1039" s="46"/>
    </row>
    <row r="1040">
      <c r="A1040" s="46"/>
      <c r="B1040" s="46"/>
      <c r="C1040" s="46"/>
      <c r="D1040" s="46"/>
      <c r="E1040" s="46"/>
      <c r="F1040" s="46"/>
      <c r="G1040" s="46"/>
      <c r="H1040" s="46"/>
      <c r="I1040" s="46"/>
      <c r="J1040" s="46"/>
      <c r="K1040" s="46"/>
      <c r="L1040" s="46"/>
      <c r="M1040" s="46"/>
      <c r="N1040" s="46"/>
      <c r="O1040" s="46"/>
      <c r="P1040" s="46"/>
      <c r="Q1040" s="46"/>
      <c r="R1040" s="46"/>
      <c r="S1040" s="46"/>
      <c r="T1040" s="46"/>
      <c r="U1040" s="46"/>
      <c r="V1040" s="46"/>
      <c r="W1040" s="46"/>
      <c r="X1040" s="46"/>
      <c r="Y1040" s="46"/>
      <c r="Z1040" s="46"/>
      <c r="AA1040" s="46"/>
    </row>
    <row r="1041">
      <c r="A1041" s="46"/>
      <c r="B1041" s="46"/>
      <c r="C1041" s="46"/>
      <c r="D1041" s="46"/>
      <c r="E1041" s="46"/>
      <c r="F1041" s="46"/>
      <c r="G1041" s="46"/>
      <c r="H1041" s="46"/>
      <c r="I1041" s="46"/>
      <c r="J1041" s="46"/>
      <c r="K1041" s="46"/>
      <c r="L1041" s="46"/>
      <c r="M1041" s="46"/>
      <c r="N1041" s="46"/>
      <c r="O1041" s="46"/>
      <c r="P1041" s="46"/>
      <c r="Q1041" s="46"/>
      <c r="R1041" s="46"/>
      <c r="S1041" s="46"/>
      <c r="T1041" s="46"/>
      <c r="U1041" s="46"/>
      <c r="V1041" s="46"/>
      <c r="W1041" s="46"/>
      <c r="X1041" s="46"/>
      <c r="Y1041" s="46"/>
      <c r="Z1041" s="46"/>
      <c r="AA1041" s="46"/>
    </row>
    <row r="1042">
      <c r="A1042" s="46"/>
      <c r="B1042" s="46"/>
      <c r="C1042" s="46"/>
      <c r="D1042" s="46"/>
      <c r="E1042" s="46"/>
      <c r="F1042" s="46"/>
      <c r="G1042" s="46"/>
      <c r="H1042" s="46"/>
      <c r="I1042" s="46"/>
      <c r="J1042" s="46"/>
      <c r="K1042" s="46"/>
      <c r="L1042" s="46"/>
      <c r="M1042" s="46"/>
      <c r="N1042" s="46"/>
      <c r="O1042" s="46"/>
      <c r="P1042" s="46"/>
      <c r="Q1042" s="46"/>
      <c r="R1042" s="46"/>
      <c r="S1042" s="46"/>
      <c r="T1042" s="46"/>
      <c r="U1042" s="46"/>
      <c r="V1042" s="46"/>
      <c r="W1042" s="46"/>
      <c r="X1042" s="46"/>
      <c r="Y1042" s="46"/>
      <c r="Z1042" s="46"/>
      <c r="AA1042" s="46"/>
    </row>
    <row r="1043">
      <c r="A1043" s="46"/>
      <c r="B1043" s="46"/>
      <c r="C1043" s="46"/>
      <c r="D1043" s="46"/>
      <c r="E1043" s="46"/>
      <c r="F1043" s="46"/>
      <c r="G1043" s="46"/>
      <c r="H1043" s="46"/>
      <c r="I1043" s="46"/>
      <c r="J1043" s="46"/>
      <c r="K1043" s="46"/>
      <c r="L1043" s="46"/>
      <c r="M1043" s="46"/>
      <c r="N1043" s="46"/>
      <c r="O1043" s="46"/>
      <c r="P1043" s="46"/>
      <c r="Q1043" s="46"/>
      <c r="R1043" s="46"/>
      <c r="S1043" s="46"/>
      <c r="T1043" s="46"/>
      <c r="U1043" s="46"/>
      <c r="V1043" s="46"/>
      <c r="W1043" s="46"/>
      <c r="X1043" s="46"/>
      <c r="Y1043" s="46"/>
      <c r="Z1043" s="46"/>
      <c r="AA1043" s="46"/>
    </row>
    <row r="1044">
      <c r="A1044" s="46"/>
      <c r="B1044" s="46"/>
      <c r="C1044" s="46"/>
      <c r="D1044" s="46"/>
      <c r="E1044" s="46"/>
      <c r="F1044" s="46"/>
      <c r="G1044" s="46"/>
      <c r="H1044" s="46"/>
      <c r="I1044" s="46"/>
      <c r="J1044" s="46"/>
      <c r="K1044" s="46"/>
      <c r="L1044" s="46"/>
      <c r="M1044" s="46"/>
      <c r="N1044" s="46"/>
      <c r="O1044" s="46"/>
      <c r="P1044" s="46"/>
      <c r="Q1044" s="46"/>
      <c r="R1044" s="46"/>
      <c r="S1044" s="46"/>
      <c r="T1044" s="46"/>
      <c r="U1044" s="46"/>
      <c r="V1044" s="46"/>
      <c r="W1044" s="46"/>
      <c r="X1044" s="46"/>
      <c r="Y1044" s="46"/>
      <c r="Z1044" s="46"/>
      <c r="AA1044" s="46"/>
    </row>
    <row r="1045">
      <c r="A1045" s="46"/>
      <c r="B1045" s="46"/>
      <c r="C1045" s="46"/>
      <c r="D1045" s="46"/>
      <c r="E1045" s="46"/>
      <c r="F1045" s="46"/>
      <c r="G1045" s="46"/>
      <c r="H1045" s="46"/>
      <c r="I1045" s="46"/>
      <c r="J1045" s="46"/>
      <c r="K1045" s="46"/>
      <c r="L1045" s="46"/>
      <c r="M1045" s="46"/>
      <c r="N1045" s="46"/>
      <c r="O1045" s="46"/>
      <c r="P1045" s="46"/>
      <c r="Q1045" s="46"/>
      <c r="R1045" s="46"/>
      <c r="S1045" s="46"/>
      <c r="T1045" s="46"/>
      <c r="U1045" s="46"/>
      <c r="V1045" s="46"/>
      <c r="W1045" s="46"/>
      <c r="X1045" s="46"/>
      <c r="Y1045" s="46"/>
      <c r="Z1045" s="46"/>
      <c r="AA1045" s="46"/>
    </row>
    <row r="1046">
      <c r="A1046" s="46"/>
      <c r="B1046" s="46"/>
      <c r="C1046" s="46"/>
      <c r="D1046" s="46"/>
      <c r="E1046" s="46"/>
      <c r="F1046" s="46"/>
      <c r="G1046" s="46"/>
      <c r="H1046" s="46"/>
      <c r="I1046" s="46"/>
      <c r="J1046" s="46"/>
      <c r="K1046" s="46"/>
      <c r="L1046" s="46"/>
      <c r="M1046" s="46"/>
      <c r="N1046" s="46"/>
      <c r="O1046" s="46"/>
      <c r="P1046" s="46"/>
      <c r="Q1046" s="46"/>
      <c r="R1046" s="46"/>
      <c r="S1046" s="46"/>
      <c r="T1046" s="46"/>
      <c r="U1046" s="46"/>
      <c r="V1046" s="46"/>
      <c r="W1046" s="46"/>
      <c r="X1046" s="46"/>
      <c r="Y1046" s="46"/>
      <c r="Z1046" s="46"/>
      <c r="AA1046" s="46"/>
    </row>
    <row r="1047">
      <c r="A1047" s="46"/>
      <c r="B1047" s="46"/>
      <c r="C1047" s="46"/>
      <c r="D1047" s="46"/>
      <c r="E1047" s="46"/>
      <c r="F1047" s="46"/>
      <c r="G1047" s="46"/>
      <c r="H1047" s="46"/>
      <c r="I1047" s="46"/>
      <c r="J1047" s="46"/>
      <c r="K1047" s="46"/>
      <c r="L1047" s="46"/>
      <c r="M1047" s="46"/>
      <c r="N1047" s="46"/>
      <c r="O1047" s="46"/>
      <c r="P1047" s="46"/>
      <c r="Q1047" s="46"/>
      <c r="R1047" s="46"/>
      <c r="S1047" s="46"/>
      <c r="T1047" s="46"/>
      <c r="U1047" s="46"/>
      <c r="V1047" s="46"/>
      <c r="W1047" s="46"/>
      <c r="X1047" s="46"/>
      <c r="Y1047" s="46"/>
      <c r="Z1047" s="46"/>
      <c r="AA1047" s="46"/>
    </row>
    <row r="1048">
      <c r="A1048" s="46"/>
      <c r="B1048" s="46"/>
      <c r="C1048" s="46"/>
      <c r="D1048" s="46"/>
      <c r="E1048" s="46"/>
      <c r="F1048" s="46"/>
      <c r="G1048" s="46"/>
      <c r="H1048" s="46"/>
      <c r="I1048" s="46"/>
      <c r="J1048" s="46"/>
      <c r="K1048" s="46"/>
      <c r="L1048" s="46"/>
      <c r="M1048" s="46"/>
      <c r="N1048" s="46"/>
      <c r="O1048" s="46"/>
      <c r="P1048" s="46"/>
      <c r="Q1048" s="46"/>
      <c r="R1048" s="46"/>
      <c r="S1048" s="46"/>
      <c r="T1048" s="46"/>
      <c r="U1048" s="46"/>
      <c r="V1048" s="46"/>
      <c r="W1048" s="46"/>
      <c r="X1048" s="46"/>
      <c r="Y1048" s="46"/>
      <c r="Z1048" s="46"/>
      <c r="AA1048" s="46"/>
    </row>
    <row r="1049">
      <c r="A1049" s="46"/>
      <c r="B1049" s="46"/>
      <c r="C1049" s="46"/>
      <c r="D1049" s="46"/>
      <c r="E1049" s="46"/>
      <c r="F1049" s="46"/>
      <c r="G1049" s="46"/>
      <c r="H1049" s="46"/>
      <c r="I1049" s="46"/>
      <c r="J1049" s="46"/>
      <c r="K1049" s="46"/>
      <c r="L1049" s="46"/>
      <c r="M1049" s="46"/>
      <c r="N1049" s="46"/>
      <c r="O1049" s="46"/>
      <c r="P1049" s="46"/>
      <c r="Q1049" s="46"/>
      <c r="R1049" s="46"/>
      <c r="S1049" s="46"/>
      <c r="T1049" s="46"/>
      <c r="U1049" s="46"/>
      <c r="V1049" s="46"/>
      <c r="W1049" s="46"/>
      <c r="X1049" s="46"/>
      <c r="Y1049" s="46"/>
      <c r="Z1049" s="46"/>
      <c r="AA1049" s="46"/>
    </row>
    <row r="1050">
      <c r="A1050" s="46"/>
      <c r="B1050" s="46"/>
      <c r="C1050" s="46"/>
      <c r="D1050" s="46"/>
      <c r="E1050" s="46"/>
      <c r="F1050" s="46"/>
      <c r="G1050" s="46"/>
      <c r="H1050" s="46"/>
      <c r="I1050" s="46"/>
      <c r="J1050" s="46"/>
      <c r="K1050" s="46"/>
      <c r="L1050" s="46"/>
      <c r="M1050" s="46"/>
      <c r="N1050" s="46"/>
      <c r="O1050" s="46"/>
      <c r="P1050" s="46"/>
      <c r="Q1050" s="46"/>
      <c r="R1050" s="46"/>
      <c r="S1050" s="46"/>
      <c r="T1050" s="46"/>
      <c r="U1050" s="46"/>
      <c r="V1050" s="46"/>
      <c r="W1050" s="46"/>
      <c r="X1050" s="46"/>
      <c r="Y1050" s="46"/>
      <c r="Z1050" s="46"/>
      <c r="AA1050" s="46"/>
    </row>
    <row r="1051">
      <c r="A1051" s="46"/>
      <c r="B1051" s="46"/>
      <c r="C1051" s="46"/>
      <c r="D1051" s="46"/>
      <c r="E1051" s="46"/>
      <c r="F1051" s="46"/>
      <c r="G1051" s="46"/>
      <c r="H1051" s="46"/>
      <c r="I1051" s="46"/>
      <c r="J1051" s="46"/>
      <c r="K1051" s="46"/>
      <c r="L1051" s="46"/>
      <c r="M1051" s="46"/>
      <c r="N1051" s="46"/>
      <c r="O1051" s="46"/>
      <c r="P1051" s="46"/>
      <c r="Q1051" s="46"/>
      <c r="R1051" s="46"/>
      <c r="S1051" s="46"/>
      <c r="T1051" s="46"/>
      <c r="U1051" s="46"/>
      <c r="V1051" s="46"/>
      <c r="W1051" s="46"/>
      <c r="X1051" s="46"/>
      <c r="Y1051" s="46"/>
      <c r="Z1051" s="46"/>
      <c r="AA1051" s="46"/>
    </row>
    <row r="1052">
      <c r="A1052" s="46"/>
      <c r="B1052" s="46"/>
      <c r="C1052" s="46"/>
      <c r="D1052" s="46"/>
      <c r="E1052" s="46"/>
      <c r="F1052" s="46"/>
      <c r="G1052" s="46"/>
      <c r="H1052" s="46"/>
      <c r="I1052" s="46"/>
      <c r="J1052" s="46"/>
      <c r="K1052" s="46"/>
      <c r="L1052" s="46"/>
      <c r="M1052" s="46"/>
      <c r="N1052" s="46"/>
      <c r="O1052" s="46"/>
      <c r="P1052" s="46"/>
      <c r="Q1052" s="46"/>
      <c r="R1052" s="46"/>
      <c r="S1052" s="46"/>
      <c r="T1052" s="46"/>
      <c r="U1052" s="46"/>
      <c r="V1052" s="46"/>
      <c r="W1052" s="46"/>
      <c r="X1052" s="46"/>
      <c r="Y1052" s="46"/>
      <c r="Z1052" s="46"/>
      <c r="AA1052" s="46"/>
    </row>
    <row r="1053">
      <c r="A1053" s="46"/>
      <c r="B1053" s="46"/>
      <c r="C1053" s="46"/>
      <c r="D1053" s="46"/>
      <c r="E1053" s="46"/>
      <c r="F1053" s="46"/>
      <c r="G1053" s="46"/>
      <c r="H1053" s="46"/>
      <c r="I1053" s="46"/>
      <c r="J1053" s="46"/>
      <c r="K1053" s="46"/>
      <c r="L1053" s="46"/>
      <c r="M1053" s="46"/>
      <c r="N1053" s="46"/>
      <c r="O1053" s="46"/>
      <c r="P1053" s="46"/>
      <c r="Q1053" s="46"/>
      <c r="R1053" s="46"/>
      <c r="S1053" s="46"/>
      <c r="T1053" s="46"/>
      <c r="U1053" s="46"/>
      <c r="V1053" s="46"/>
      <c r="W1053" s="46"/>
      <c r="X1053" s="46"/>
      <c r="Y1053" s="46"/>
      <c r="Z1053" s="46"/>
      <c r="AA1053" s="46"/>
    </row>
    <row r="1054">
      <c r="A1054" s="46"/>
      <c r="B1054" s="46"/>
      <c r="C1054" s="46"/>
      <c r="D1054" s="46"/>
      <c r="E1054" s="46"/>
      <c r="F1054" s="46"/>
      <c r="G1054" s="46"/>
      <c r="H1054" s="46"/>
      <c r="I1054" s="46"/>
      <c r="J1054" s="46"/>
      <c r="K1054" s="46"/>
      <c r="L1054" s="46"/>
      <c r="M1054" s="46"/>
      <c r="N1054" s="46"/>
      <c r="O1054" s="46"/>
      <c r="P1054" s="46"/>
      <c r="Q1054" s="46"/>
      <c r="R1054" s="46"/>
      <c r="S1054" s="46"/>
      <c r="T1054" s="46"/>
      <c r="U1054" s="46"/>
      <c r="V1054" s="46"/>
      <c r="W1054" s="46"/>
      <c r="X1054" s="46"/>
      <c r="Y1054" s="46"/>
      <c r="Z1054" s="46"/>
      <c r="AA1054" s="46"/>
    </row>
    <row r="1055">
      <c r="A1055" s="46"/>
      <c r="B1055" s="46"/>
      <c r="C1055" s="46"/>
      <c r="D1055" s="46"/>
      <c r="E1055" s="46"/>
      <c r="F1055" s="46"/>
      <c r="G1055" s="46"/>
      <c r="H1055" s="46"/>
      <c r="I1055" s="46"/>
      <c r="J1055" s="46"/>
      <c r="K1055" s="46"/>
      <c r="L1055" s="46"/>
      <c r="M1055" s="46"/>
      <c r="N1055" s="46"/>
      <c r="O1055" s="46"/>
      <c r="P1055" s="46"/>
      <c r="Q1055" s="46"/>
      <c r="R1055" s="46"/>
      <c r="S1055" s="46"/>
      <c r="T1055" s="46"/>
      <c r="U1055" s="46"/>
      <c r="V1055" s="46"/>
      <c r="W1055" s="46"/>
      <c r="X1055" s="46"/>
      <c r="Y1055" s="46"/>
      <c r="Z1055" s="46"/>
      <c r="AA1055" s="46"/>
    </row>
    <row r="1056">
      <c r="A1056" s="46"/>
      <c r="B1056" s="46"/>
      <c r="C1056" s="46"/>
      <c r="D1056" s="46"/>
      <c r="E1056" s="46"/>
      <c r="F1056" s="46"/>
      <c r="G1056" s="46"/>
      <c r="H1056" s="46"/>
      <c r="I1056" s="46"/>
      <c r="J1056" s="46"/>
      <c r="K1056" s="46"/>
      <c r="L1056" s="46"/>
      <c r="M1056" s="46"/>
      <c r="N1056" s="46"/>
      <c r="O1056" s="46"/>
      <c r="P1056" s="46"/>
      <c r="Q1056" s="46"/>
      <c r="R1056" s="46"/>
      <c r="S1056" s="46"/>
      <c r="T1056" s="46"/>
      <c r="U1056" s="46"/>
      <c r="V1056" s="46"/>
      <c r="W1056" s="46"/>
      <c r="X1056" s="46"/>
      <c r="Y1056" s="46"/>
      <c r="Z1056" s="46"/>
      <c r="AA1056" s="46"/>
    </row>
    <row r="1057">
      <c r="A1057" s="46"/>
      <c r="B1057" s="46"/>
      <c r="C1057" s="46"/>
      <c r="D1057" s="46"/>
      <c r="E1057" s="46"/>
      <c r="F1057" s="46"/>
      <c r="G1057" s="46"/>
      <c r="H1057" s="46"/>
      <c r="I1057" s="46"/>
      <c r="J1057" s="46"/>
      <c r="K1057" s="46"/>
      <c r="L1057" s="46"/>
      <c r="M1057" s="46"/>
      <c r="N1057" s="46"/>
      <c r="O1057" s="46"/>
      <c r="P1057" s="46"/>
      <c r="Q1057" s="46"/>
      <c r="R1057" s="46"/>
      <c r="S1057" s="46"/>
      <c r="T1057" s="46"/>
      <c r="U1057" s="46"/>
      <c r="V1057" s="46"/>
      <c r="W1057" s="46"/>
      <c r="X1057" s="46"/>
      <c r="Y1057" s="46"/>
      <c r="Z1057" s="46"/>
      <c r="AA1057" s="46"/>
    </row>
    <row r="1058">
      <c r="A1058" s="46"/>
      <c r="B1058" s="46"/>
      <c r="C1058" s="46"/>
      <c r="D1058" s="46"/>
      <c r="E1058" s="46"/>
      <c r="F1058" s="46"/>
      <c r="G1058" s="46"/>
      <c r="H1058" s="46"/>
      <c r="I1058" s="46"/>
      <c r="J1058" s="46"/>
      <c r="K1058" s="46"/>
      <c r="L1058" s="46"/>
      <c r="M1058" s="46"/>
      <c r="N1058" s="46"/>
      <c r="O1058" s="46"/>
      <c r="P1058" s="46"/>
      <c r="Q1058" s="46"/>
      <c r="R1058" s="46"/>
      <c r="S1058" s="46"/>
      <c r="T1058" s="46"/>
      <c r="U1058" s="46"/>
      <c r="V1058" s="46"/>
      <c r="W1058" s="46"/>
      <c r="X1058" s="46"/>
      <c r="Y1058" s="46"/>
      <c r="Z1058" s="46"/>
      <c r="AA1058" s="46"/>
    </row>
    <row r="1059">
      <c r="A1059" s="46"/>
      <c r="B1059" s="46"/>
      <c r="C1059" s="46"/>
      <c r="D1059" s="46"/>
      <c r="E1059" s="46"/>
      <c r="F1059" s="46"/>
      <c r="G1059" s="46"/>
      <c r="H1059" s="46"/>
      <c r="I1059" s="46"/>
      <c r="J1059" s="46"/>
      <c r="K1059" s="46"/>
      <c r="L1059" s="46"/>
      <c r="M1059" s="46"/>
      <c r="N1059" s="46"/>
      <c r="O1059" s="46"/>
      <c r="P1059" s="46"/>
      <c r="Q1059" s="46"/>
      <c r="R1059" s="46"/>
      <c r="S1059" s="46"/>
      <c r="T1059" s="46"/>
      <c r="U1059" s="46"/>
      <c r="V1059" s="46"/>
      <c r="W1059" s="46"/>
      <c r="X1059" s="46"/>
      <c r="Y1059" s="46"/>
      <c r="Z1059" s="46"/>
      <c r="AA1059" s="46"/>
    </row>
    <row r="1060">
      <c r="A1060" s="46"/>
      <c r="B1060" s="46"/>
      <c r="C1060" s="46"/>
      <c r="D1060" s="46"/>
      <c r="E1060" s="46"/>
      <c r="F1060" s="46"/>
      <c r="G1060" s="46"/>
      <c r="H1060" s="46"/>
      <c r="I1060" s="46"/>
      <c r="J1060" s="46"/>
      <c r="K1060" s="46"/>
      <c r="L1060" s="46"/>
      <c r="M1060" s="46"/>
      <c r="N1060" s="46"/>
      <c r="O1060" s="46"/>
      <c r="P1060" s="46"/>
      <c r="Q1060" s="46"/>
      <c r="R1060" s="46"/>
      <c r="S1060" s="46"/>
      <c r="T1060" s="46"/>
      <c r="U1060" s="46"/>
      <c r="V1060" s="46"/>
      <c r="W1060" s="46"/>
      <c r="X1060" s="46"/>
      <c r="Y1060" s="46"/>
      <c r="Z1060" s="46"/>
      <c r="AA1060" s="46"/>
    </row>
    <row r="1061">
      <c r="A1061" s="46"/>
      <c r="B1061" s="46"/>
      <c r="C1061" s="46"/>
      <c r="D1061" s="46"/>
      <c r="E1061" s="46"/>
      <c r="F1061" s="46"/>
      <c r="G1061" s="46"/>
      <c r="H1061" s="46"/>
      <c r="I1061" s="46"/>
      <c r="J1061" s="46"/>
      <c r="K1061" s="46"/>
      <c r="L1061" s="46"/>
      <c r="M1061" s="46"/>
      <c r="N1061" s="46"/>
      <c r="O1061" s="46"/>
      <c r="P1061" s="46"/>
      <c r="Q1061" s="46"/>
      <c r="R1061" s="46"/>
      <c r="S1061" s="46"/>
      <c r="T1061" s="46"/>
      <c r="U1061" s="46"/>
      <c r="V1061" s="46"/>
      <c r="W1061" s="46"/>
      <c r="X1061" s="46"/>
      <c r="Y1061" s="46"/>
      <c r="Z1061" s="46"/>
      <c r="AA1061" s="46"/>
    </row>
    <row r="1062">
      <c r="A1062" s="46"/>
      <c r="B1062" s="46"/>
      <c r="C1062" s="46"/>
      <c r="D1062" s="46"/>
      <c r="E1062" s="46"/>
      <c r="F1062" s="46"/>
      <c r="G1062" s="46"/>
      <c r="H1062" s="46"/>
      <c r="I1062" s="46"/>
      <c r="J1062" s="46"/>
      <c r="K1062" s="46"/>
      <c r="L1062" s="46"/>
      <c r="M1062" s="46"/>
      <c r="N1062" s="46"/>
      <c r="O1062" s="46"/>
      <c r="P1062" s="46"/>
      <c r="Q1062" s="46"/>
      <c r="R1062" s="46"/>
      <c r="S1062" s="46"/>
      <c r="T1062" s="46"/>
      <c r="U1062" s="46"/>
      <c r="V1062" s="46"/>
      <c r="W1062" s="46"/>
      <c r="X1062" s="46"/>
      <c r="Y1062" s="46"/>
      <c r="Z1062" s="46"/>
      <c r="AA1062" s="46"/>
    </row>
    <row r="1063">
      <c r="A1063" s="46"/>
      <c r="B1063" s="46"/>
      <c r="C1063" s="46"/>
      <c r="D1063" s="46"/>
      <c r="E1063" s="46"/>
      <c r="F1063" s="46"/>
      <c r="G1063" s="46"/>
      <c r="H1063" s="46"/>
      <c r="I1063" s="46"/>
      <c r="J1063" s="46"/>
      <c r="K1063" s="46"/>
      <c r="L1063" s="46"/>
      <c r="M1063" s="46"/>
      <c r="N1063" s="46"/>
      <c r="O1063" s="46"/>
      <c r="P1063" s="46"/>
      <c r="Q1063" s="46"/>
      <c r="R1063" s="46"/>
      <c r="S1063" s="46"/>
      <c r="T1063" s="46"/>
      <c r="U1063" s="46"/>
      <c r="V1063" s="46"/>
      <c r="W1063" s="46"/>
      <c r="X1063" s="46"/>
      <c r="Y1063" s="46"/>
      <c r="Z1063" s="46"/>
      <c r="AA1063" s="46"/>
    </row>
    <row r="1064">
      <c r="A1064" s="46"/>
      <c r="B1064" s="46"/>
      <c r="C1064" s="46"/>
      <c r="D1064" s="46"/>
      <c r="E1064" s="46"/>
      <c r="F1064" s="46"/>
      <c r="G1064" s="46"/>
      <c r="H1064" s="46"/>
      <c r="I1064" s="46"/>
      <c r="J1064" s="46"/>
      <c r="K1064" s="46"/>
      <c r="L1064" s="46"/>
      <c r="M1064" s="46"/>
      <c r="N1064" s="46"/>
      <c r="O1064" s="46"/>
      <c r="P1064" s="46"/>
      <c r="Q1064" s="46"/>
      <c r="R1064" s="46"/>
      <c r="S1064" s="46"/>
      <c r="T1064" s="46"/>
      <c r="U1064" s="46"/>
      <c r="V1064" s="46"/>
      <c r="W1064" s="46"/>
      <c r="X1064" s="46"/>
      <c r="Y1064" s="46"/>
      <c r="Z1064" s="46"/>
      <c r="AA1064" s="46"/>
    </row>
    <row r="1065">
      <c r="A1065" s="46"/>
      <c r="B1065" s="46"/>
      <c r="C1065" s="46"/>
      <c r="D1065" s="46"/>
      <c r="E1065" s="46"/>
      <c r="F1065" s="46"/>
      <c r="G1065" s="46"/>
      <c r="H1065" s="46"/>
      <c r="I1065" s="46"/>
      <c r="J1065" s="46"/>
      <c r="K1065" s="46"/>
      <c r="L1065" s="46"/>
      <c r="M1065" s="46"/>
      <c r="N1065" s="46"/>
      <c r="O1065" s="46"/>
      <c r="P1065" s="46"/>
      <c r="Q1065" s="46"/>
      <c r="R1065" s="46"/>
      <c r="S1065" s="46"/>
      <c r="T1065" s="46"/>
      <c r="U1065" s="46"/>
      <c r="V1065" s="46"/>
      <c r="W1065" s="46"/>
      <c r="X1065" s="46"/>
      <c r="Y1065" s="46"/>
      <c r="Z1065" s="46"/>
      <c r="AA1065" s="46"/>
    </row>
    <row r="1066">
      <c r="A1066" s="46"/>
      <c r="B1066" s="46"/>
      <c r="C1066" s="46"/>
      <c r="D1066" s="46"/>
      <c r="E1066" s="46"/>
      <c r="F1066" s="46"/>
      <c r="G1066" s="46"/>
      <c r="H1066" s="46"/>
      <c r="I1066" s="46"/>
      <c r="J1066" s="46"/>
      <c r="K1066" s="46"/>
      <c r="L1066" s="46"/>
      <c r="M1066" s="46"/>
      <c r="N1066" s="46"/>
      <c r="O1066" s="46"/>
      <c r="P1066" s="46"/>
      <c r="Q1066" s="46"/>
      <c r="R1066" s="46"/>
      <c r="S1066" s="46"/>
      <c r="T1066" s="46"/>
      <c r="U1066" s="46"/>
      <c r="V1066" s="46"/>
      <c r="W1066" s="46"/>
      <c r="X1066" s="46"/>
      <c r="Y1066" s="46"/>
      <c r="Z1066" s="46"/>
      <c r="AA1066" s="46"/>
    </row>
    <row r="1067">
      <c r="A1067" s="46"/>
      <c r="B1067" s="46"/>
      <c r="C1067" s="46"/>
      <c r="D1067" s="46"/>
      <c r="E1067" s="46"/>
      <c r="F1067" s="46"/>
      <c r="G1067" s="46"/>
      <c r="H1067" s="46"/>
      <c r="I1067" s="46"/>
      <c r="J1067" s="46"/>
      <c r="K1067" s="46"/>
      <c r="L1067" s="46"/>
      <c r="M1067" s="46"/>
      <c r="N1067" s="46"/>
      <c r="O1067" s="46"/>
      <c r="P1067" s="46"/>
      <c r="Q1067" s="46"/>
      <c r="R1067" s="46"/>
      <c r="S1067" s="46"/>
      <c r="T1067" s="46"/>
      <c r="U1067" s="46"/>
      <c r="V1067" s="46"/>
      <c r="W1067" s="46"/>
      <c r="X1067" s="46"/>
      <c r="Y1067" s="46"/>
      <c r="Z1067" s="46"/>
      <c r="AA1067" s="46"/>
    </row>
    <row r="1068">
      <c r="A1068" s="46"/>
      <c r="B1068" s="46"/>
      <c r="C1068" s="46"/>
      <c r="D1068" s="46"/>
      <c r="E1068" s="46"/>
      <c r="F1068" s="46"/>
      <c r="G1068" s="46"/>
      <c r="H1068" s="46"/>
      <c r="I1068" s="46"/>
      <c r="J1068" s="46"/>
      <c r="K1068" s="46"/>
      <c r="L1068" s="46"/>
      <c r="M1068" s="46"/>
      <c r="N1068" s="46"/>
      <c r="O1068" s="46"/>
      <c r="P1068" s="46"/>
      <c r="Q1068" s="46"/>
      <c r="R1068" s="46"/>
      <c r="S1068" s="46"/>
      <c r="T1068" s="46"/>
      <c r="U1068" s="46"/>
      <c r="V1068" s="46"/>
      <c r="W1068" s="46"/>
      <c r="X1068" s="46"/>
      <c r="Y1068" s="46"/>
      <c r="Z1068" s="46"/>
      <c r="AA1068" s="46"/>
    </row>
    <row r="1069">
      <c r="A1069" s="46"/>
      <c r="B1069" s="46"/>
      <c r="C1069" s="46"/>
      <c r="D1069" s="46"/>
      <c r="E1069" s="46"/>
      <c r="F1069" s="46"/>
      <c r="G1069" s="46"/>
      <c r="H1069" s="46"/>
      <c r="I1069" s="46"/>
      <c r="J1069" s="46"/>
      <c r="K1069" s="46"/>
      <c r="L1069" s="46"/>
      <c r="M1069" s="46"/>
      <c r="N1069" s="46"/>
      <c r="O1069" s="46"/>
      <c r="P1069" s="46"/>
      <c r="Q1069" s="46"/>
      <c r="R1069" s="46"/>
      <c r="S1069" s="46"/>
      <c r="T1069" s="46"/>
      <c r="U1069" s="46"/>
      <c r="V1069" s="46"/>
      <c r="W1069" s="46"/>
      <c r="X1069" s="46"/>
      <c r="Y1069" s="46"/>
      <c r="Z1069" s="46"/>
      <c r="AA1069" s="46"/>
    </row>
    <row r="1070">
      <c r="A1070" s="46"/>
      <c r="B1070" s="46"/>
      <c r="C1070" s="46"/>
      <c r="D1070" s="46"/>
      <c r="E1070" s="46"/>
      <c r="F1070" s="46"/>
      <c r="G1070" s="46"/>
      <c r="H1070" s="46"/>
      <c r="I1070" s="46"/>
      <c r="J1070" s="46"/>
      <c r="K1070" s="46"/>
      <c r="L1070" s="46"/>
      <c r="M1070" s="46"/>
      <c r="N1070" s="46"/>
      <c r="O1070" s="46"/>
      <c r="P1070" s="46"/>
      <c r="Q1070" s="46"/>
      <c r="R1070" s="46"/>
      <c r="S1070" s="46"/>
      <c r="T1070" s="46"/>
      <c r="U1070" s="46"/>
      <c r="V1070" s="46"/>
      <c r="W1070" s="46"/>
      <c r="X1070" s="46"/>
      <c r="Y1070" s="46"/>
      <c r="Z1070" s="46"/>
      <c r="AA1070" s="46"/>
    </row>
    <row r="1071">
      <c r="A1071" s="46"/>
      <c r="B1071" s="46"/>
      <c r="C1071" s="46"/>
      <c r="D1071" s="46"/>
      <c r="E1071" s="46"/>
      <c r="F1071" s="46"/>
      <c r="G1071" s="46"/>
      <c r="H1071" s="46"/>
      <c r="I1071" s="46"/>
      <c r="J1071" s="46"/>
      <c r="K1071" s="46"/>
      <c r="L1071" s="46"/>
      <c r="M1071" s="46"/>
      <c r="N1071" s="46"/>
      <c r="O1071" s="46"/>
      <c r="P1071" s="46"/>
      <c r="Q1071" s="46"/>
      <c r="R1071" s="46"/>
      <c r="S1071" s="46"/>
      <c r="T1071" s="46"/>
      <c r="U1071" s="46"/>
      <c r="V1071" s="46"/>
      <c r="W1071" s="46"/>
      <c r="X1071" s="46"/>
      <c r="Y1071" s="46"/>
      <c r="Z1071" s="46"/>
      <c r="AA1071" s="46"/>
    </row>
    <row r="1072">
      <c r="A1072" s="46"/>
      <c r="B1072" s="46"/>
      <c r="C1072" s="46"/>
      <c r="D1072" s="46"/>
      <c r="E1072" s="46"/>
      <c r="F1072" s="46"/>
      <c r="G1072" s="46"/>
      <c r="H1072" s="46"/>
      <c r="I1072" s="46"/>
      <c r="J1072" s="46"/>
      <c r="K1072" s="46"/>
      <c r="L1072" s="46"/>
      <c r="M1072" s="46"/>
      <c r="N1072" s="46"/>
      <c r="O1072" s="46"/>
      <c r="P1072" s="46"/>
      <c r="Q1072" s="46"/>
      <c r="R1072" s="46"/>
      <c r="S1072" s="46"/>
      <c r="T1072" s="46"/>
      <c r="U1072" s="46"/>
      <c r="V1072" s="46"/>
      <c r="W1072" s="46"/>
      <c r="X1072" s="46"/>
      <c r="Y1072" s="46"/>
      <c r="Z1072" s="46"/>
      <c r="AA1072" s="46"/>
    </row>
    <row r="1073">
      <c r="A1073" s="46"/>
      <c r="B1073" s="46"/>
      <c r="C1073" s="46"/>
      <c r="D1073" s="46"/>
      <c r="E1073" s="46"/>
      <c r="F1073" s="46"/>
      <c r="G1073" s="46"/>
      <c r="H1073" s="46"/>
      <c r="I1073" s="46"/>
      <c r="J1073" s="46"/>
      <c r="K1073" s="46"/>
      <c r="L1073" s="46"/>
      <c r="M1073" s="46"/>
      <c r="N1073" s="46"/>
      <c r="O1073" s="46"/>
      <c r="P1073" s="46"/>
      <c r="Q1073" s="46"/>
      <c r="R1073" s="46"/>
      <c r="S1073" s="46"/>
      <c r="T1073" s="46"/>
      <c r="U1073" s="46"/>
      <c r="V1073" s="46"/>
      <c r="W1073" s="46"/>
      <c r="X1073" s="46"/>
      <c r="Y1073" s="46"/>
      <c r="Z1073" s="46"/>
      <c r="AA1073" s="46"/>
    </row>
    <row r="1074">
      <c r="A1074" s="46"/>
      <c r="B1074" s="46"/>
      <c r="C1074" s="46"/>
      <c r="D1074" s="46"/>
      <c r="E1074" s="46"/>
      <c r="F1074" s="46"/>
      <c r="G1074" s="46"/>
      <c r="H1074" s="46"/>
      <c r="I1074" s="46"/>
      <c r="J1074" s="46"/>
      <c r="K1074" s="46"/>
      <c r="L1074" s="46"/>
      <c r="M1074" s="46"/>
      <c r="N1074" s="46"/>
      <c r="O1074" s="46"/>
      <c r="P1074" s="46"/>
      <c r="Q1074" s="46"/>
      <c r="R1074" s="46"/>
      <c r="S1074" s="46"/>
      <c r="T1074" s="46"/>
      <c r="U1074" s="46"/>
      <c r="V1074" s="46"/>
      <c r="W1074" s="46"/>
      <c r="X1074" s="46"/>
      <c r="Y1074" s="46"/>
      <c r="Z1074" s="46"/>
      <c r="AA1074" s="46"/>
    </row>
    <row r="1075">
      <c r="A1075" s="46"/>
      <c r="B1075" s="46"/>
      <c r="C1075" s="46"/>
      <c r="D1075" s="46"/>
      <c r="E1075" s="46"/>
      <c r="F1075" s="46"/>
      <c r="G1075" s="46"/>
      <c r="H1075" s="46"/>
      <c r="I1075" s="46"/>
      <c r="J1075" s="46"/>
      <c r="K1075" s="46"/>
      <c r="L1075" s="46"/>
      <c r="M1075" s="46"/>
      <c r="N1075" s="46"/>
      <c r="O1075" s="46"/>
      <c r="P1075" s="46"/>
      <c r="Q1075" s="46"/>
      <c r="R1075" s="46"/>
      <c r="S1075" s="46"/>
      <c r="T1075" s="46"/>
      <c r="U1075" s="46"/>
      <c r="V1075" s="46"/>
      <c r="W1075" s="46"/>
      <c r="X1075" s="46"/>
      <c r="Y1075" s="46"/>
      <c r="Z1075" s="46"/>
      <c r="AA1075" s="46"/>
    </row>
    <row r="1076">
      <c r="A1076" s="46"/>
      <c r="B1076" s="46"/>
      <c r="C1076" s="46"/>
      <c r="D1076" s="46"/>
      <c r="E1076" s="46"/>
      <c r="F1076" s="46"/>
      <c r="G1076" s="46"/>
      <c r="H1076" s="46"/>
      <c r="I1076" s="46"/>
      <c r="J1076" s="46"/>
      <c r="K1076" s="46"/>
      <c r="L1076" s="46"/>
      <c r="M1076" s="46"/>
      <c r="N1076" s="46"/>
      <c r="O1076" s="46"/>
      <c r="P1076" s="46"/>
      <c r="Q1076" s="46"/>
      <c r="R1076" s="46"/>
      <c r="S1076" s="46"/>
      <c r="T1076" s="46"/>
      <c r="U1076" s="46"/>
      <c r="V1076" s="46"/>
      <c r="W1076" s="46"/>
      <c r="X1076" s="46"/>
      <c r="Y1076" s="46"/>
      <c r="Z1076" s="46"/>
      <c r="AA1076" s="46"/>
    </row>
    <row r="1077">
      <c r="A1077" s="46"/>
      <c r="B1077" s="46"/>
      <c r="C1077" s="46"/>
      <c r="D1077" s="46"/>
      <c r="E1077" s="46"/>
      <c r="F1077" s="46"/>
      <c r="G1077" s="46"/>
      <c r="H1077" s="46"/>
      <c r="I1077" s="46"/>
      <c r="J1077" s="46"/>
      <c r="K1077" s="46"/>
      <c r="L1077" s="46"/>
      <c r="M1077" s="46"/>
      <c r="N1077" s="46"/>
      <c r="O1077" s="46"/>
      <c r="P1077" s="46"/>
      <c r="Q1077" s="46"/>
      <c r="R1077" s="46"/>
      <c r="S1077" s="46"/>
      <c r="T1077" s="46"/>
      <c r="U1077" s="46"/>
      <c r="V1077" s="46"/>
      <c r="W1077" s="46"/>
      <c r="X1077" s="46"/>
      <c r="Y1077" s="46"/>
      <c r="Z1077" s="46"/>
      <c r="AA1077" s="46"/>
    </row>
    <row r="1078">
      <c r="A1078" s="46"/>
      <c r="B1078" s="46"/>
      <c r="C1078" s="46"/>
      <c r="D1078" s="46"/>
      <c r="E1078" s="46"/>
      <c r="F1078" s="46"/>
      <c r="G1078" s="46"/>
      <c r="H1078" s="46"/>
      <c r="I1078" s="46"/>
      <c r="J1078" s="46"/>
      <c r="K1078" s="46"/>
      <c r="L1078" s="46"/>
      <c r="M1078" s="46"/>
      <c r="N1078" s="46"/>
      <c r="O1078" s="46"/>
      <c r="P1078" s="46"/>
      <c r="Q1078" s="46"/>
      <c r="R1078" s="46"/>
      <c r="S1078" s="46"/>
      <c r="T1078" s="46"/>
      <c r="U1078" s="46"/>
      <c r="V1078" s="46"/>
      <c r="W1078" s="46"/>
      <c r="X1078" s="46"/>
      <c r="Y1078" s="46"/>
      <c r="Z1078" s="46"/>
      <c r="AA1078" s="46"/>
    </row>
    <row r="1079">
      <c r="A1079" s="46"/>
      <c r="B1079" s="46"/>
      <c r="C1079" s="46"/>
      <c r="D1079" s="46"/>
      <c r="E1079" s="46"/>
      <c r="F1079" s="46"/>
      <c r="G1079" s="46"/>
      <c r="H1079" s="46"/>
      <c r="I1079" s="46"/>
      <c r="J1079" s="46"/>
      <c r="K1079" s="46"/>
      <c r="L1079" s="46"/>
      <c r="M1079" s="46"/>
      <c r="N1079" s="46"/>
      <c r="O1079" s="46"/>
      <c r="P1079" s="46"/>
      <c r="Q1079" s="46"/>
      <c r="R1079" s="46"/>
      <c r="S1079" s="46"/>
      <c r="T1079" s="46"/>
      <c r="U1079" s="46"/>
      <c r="V1079" s="46"/>
      <c r="W1079" s="46"/>
      <c r="X1079" s="46"/>
      <c r="Y1079" s="46"/>
      <c r="Z1079" s="46"/>
      <c r="AA1079" s="46"/>
    </row>
    <row r="1080">
      <c r="A1080" s="46"/>
      <c r="B1080" s="46"/>
      <c r="C1080" s="46"/>
      <c r="D1080" s="46"/>
      <c r="E1080" s="46"/>
      <c r="F1080" s="46"/>
      <c r="G1080" s="46"/>
      <c r="H1080" s="46"/>
      <c r="I1080" s="46"/>
      <c r="J1080" s="46"/>
      <c r="K1080" s="46"/>
      <c r="L1080" s="46"/>
      <c r="M1080" s="46"/>
      <c r="N1080" s="46"/>
      <c r="O1080" s="46"/>
      <c r="P1080" s="46"/>
      <c r="Q1080" s="46"/>
      <c r="R1080" s="46"/>
      <c r="S1080" s="46"/>
      <c r="T1080" s="46"/>
      <c r="U1080" s="46"/>
      <c r="V1080" s="46"/>
      <c r="W1080" s="46"/>
      <c r="X1080" s="46"/>
      <c r="Y1080" s="46"/>
      <c r="Z1080" s="46"/>
      <c r="AA1080" s="46"/>
    </row>
    <row r="1081">
      <c r="A1081" s="46"/>
      <c r="B1081" s="46"/>
      <c r="C1081" s="46"/>
      <c r="D1081" s="46"/>
      <c r="E1081" s="46"/>
      <c r="F1081" s="46"/>
      <c r="G1081" s="46"/>
      <c r="H1081" s="46"/>
      <c r="I1081" s="46"/>
      <c r="J1081" s="46"/>
      <c r="K1081" s="46"/>
      <c r="L1081" s="46"/>
      <c r="M1081" s="46"/>
      <c r="N1081" s="46"/>
      <c r="O1081" s="46"/>
      <c r="P1081" s="46"/>
      <c r="Q1081" s="46"/>
      <c r="R1081" s="46"/>
      <c r="S1081" s="46"/>
      <c r="T1081" s="46"/>
      <c r="U1081" s="46"/>
      <c r="V1081" s="46"/>
      <c r="W1081" s="46"/>
      <c r="X1081" s="46"/>
      <c r="Y1081" s="46"/>
      <c r="Z1081" s="46"/>
      <c r="AA1081" s="46"/>
    </row>
    <row r="1082">
      <c r="A1082" s="46"/>
      <c r="B1082" s="46"/>
      <c r="C1082" s="46"/>
      <c r="D1082" s="46"/>
      <c r="E1082" s="46"/>
      <c r="F1082" s="46"/>
      <c r="G1082" s="46"/>
      <c r="H1082" s="46"/>
      <c r="I1082" s="46"/>
      <c r="J1082" s="46"/>
      <c r="K1082" s="46"/>
      <c r="L1082" s="46"/>
      <c r="M1082" s="46"/>
      <c r="N1082" s="46"/>
      <c r="O1082" s="46"/>
      <c r="P1082" s="46"/>
      <c r="Q1082" s="46"/>
      <c r="R1082" s="46"/>
      <c r="S1082" s="46"/>
      <c r="T1082" s="46"/>
      <c r="U1082" s="46"/>
      <c r="V1082" s="46"/>
      <c r="W1082" s="46"/>
      <c r="X1082" s="46"/>
      <c r="Y1082" s="46"/>
      <c r="Z1082" s="46"/>
      <c r="AA1082" s="46"/>
    </row>
    <row r="1083">
      <c r="A1083" s="46"/>
      <c r="B1083" s="46"/>
      <c r="C1083" s="46"/>
      <c r="D1083" s="46"/>
      <c r="E1083" s="46"/>
      <c r="F1083" s="46"/>
      <c r="G1083" s="46"/>
      <c r="H1083" s="46"/>
      <c r="I1083" s="46"/>
      <c r="J1083" s="46"/>
      <c r="K1083" s="46"/>
      <c r="L1083" s="46"/>
      <c r="M1083" s="46"/>
      <c r="N1083" s="46"/>
      <c r="O1083" s="46"/>
      <c r="P1083" s="46"/>
      <c r="Q1083" s="46"/>
      <c r="R1083" s="46"/>
      <c r="S1083" s="46"/>
      <c r="T1083" s="46"/>
      <c r="U1083" s="46"/>
      <c r="V1083" s="46"/>
      <c r="W1083" s="46"/>
      <c r="X1083" s="46"/>
      <c r="Y1083" s="46"/>
      <c r="Z1083" s="46"/>
      <c r="AA1083" s="46"/>
    </row>
    <row r="1084">
      <c r="A1084" s="46"/>
      <c r="B1084" s="46"/>
      <c r="C1084" s="46"/>
      <c r="D1084" s="46"/>
      <c r="E1084" s="46"/>
      <c r="F1084" s="46"/>
      <c r="G1084" s="46"/>
      <c r="H1084" s="46"/>
      <c r="I1084" s="46"/>
      <c r="J1084" s="46"/>
      <c r="K1084" s="46"/>
      <c r="L1084" s="46"/>
      <c r="M1084" s="46"/>
      <c r="N1084" s="46"/>
      <c r="O1084" s="46"/>
      <c r="P1084" s="46"/>
      <c r="Q1084" s="46"/>
      <c r="R1084" s="46"/>
      <c r="S1084" s="46"/>
      <c r="T1084" s="46"/>
      <c r="U1084" s="46"/>
      <c r="V1084" s="46"/>
      <c r="W1084" s="46"/>
      <c r="X1084" s="46"/>
      <c r="Y1084" s="46"/>
      <c r="Z1084" s="46"/>
      <c r="AA1084" s="46"/>
    </row>
    <row r="1085">
      <c r="A1085" s="46"/>
      <c r="B1085" s="46"/>
      <c r="C1085" s="46"/>
      <c r="D1085" s="46"/>
      <c r="E1085" s="46"/>
      <c r="F1085" s="46"/>
      <c r="G1085" s="46"/>
      <c r="H1085" s="46"/>
      <c r="I1085" s="46"/>
      <c r="J1085" s="46"/>
      <c r="K1085" s="46"/>
      <c r="L1085" s="46"/>
      <c r="M1085" s="46"/>
      <c r="N1085" s="46"/>
      <c r="O1085" s="46"/>
      <c r="P1085" s="46"/>
      <c r="Q1085" s="46"/>
      <c r="R1085" s="46"/>
      <c r="S1085" s="46"/>
      <c r="T1085" s="46"/>
      <c r="U1085" s="46"/>
      <c r="V1085" s="46"/>
      <c r="W1085" s="46"/>
      <c r="X1085" s="46"/>
      <c r="Y1085" s="46"/>
      <c r="Z1085" s="46"/>
      <c r="AA1085" s="46"/>
    </row>
    <row r="1086">
      <c r="A1086" s="46"/>
      <c r="B1086" s="46"/>
      <c r="C1086" s="46"/>
      <c r="D1086" s="46"/>
      <c r="E1086" s="46"/>
      <c r="F1086" s="46"/>
      <c r="G1086" s="46"/>
      <c r="H1086" s="46"/>
      <c r="I1086" s="46"/>
      <c r="J1086" s="46"/>
      <c r="K1086" s="46"/>
      <c r="L1086" s="46"/>
      <c r="M1086" s="46"/>
      <c r="N1086" s="46"/>
      <c r="O1086" s="46"/>
      <c r="P1086" s="46"/>
      <c r="Q1086" s="46"/>
      <c r="R1086" s="46"/>
      <c r="S1086" s="46"/>
      <c r="T1086" s="46"/>
      <c r="U1086" s="46"/>
      <c r="V1086" s="46"/>
      <c r="W1086" s="46"/>
      <c r="X1086" s="46"/>
      <c r="Y1086" s="46"/>
      <c r="Z1086" s="46"/>
      <c r="AA1086" s="46"/>
    </row>
    <row r="1087">
      <c r="A1087" s="46"/>
      <c r="B1087" s="46"/>
      <c r="C1087" s="46"/>
      <c r="D1087" s="46"/>
      <c r="E1087" s="46"/>
      <c r="F1087" s="46"/>
      <c r="G1087" s="46"/>
      <c r="H1087" s="46"/>
      <c r="I1087" s="46"/>
      <c r="J1087" s="46"/>
      <c r="K1087" s="46"/>
      <c r="L1087" s="46"/>
      <c r="M1087" s="46"/>
      <c r="N1087" s="46"/>
      <c r="O1087" s="46"/>
      <c r="P1087" s="46"/>
      <c r="Q1087" s="46"/>
      <c r="R1087" s="46"/>
      <c r="S1087" s="46"/>
      <c r="T1087" s="46"/>
      <c r="U1087" s="46"/>
      <c r="V1087" s="46"/>
      <c r="W1087" s="46"/>
      <c r="X1087" s="46"/>
      <c r="Y1087" s="46"/>
      <c r="Z1087" s="46"/>
      <c r="AA1087" s="46"/>
    </row>
    <row r="1088">
      <c r="A1088" s="46"/>
      <c r="B1088" s="46"/>
      <c r="C1088" s="46"/>
      <c r="D1088" s="46"/>
      <c r="E1088" s="46"/>
      <c r="F1088" s="46"/>
      <c r="G1088" s="46"/>
      <c r="H1088" s="46"/>
      <c r="I1088" s="46"/>
      <c r="J1088" s="46"/>
      <c r="K1088" s="46"/>
      <c r="L1088" s="46"/>
      <c r="M1088" s="46"/>
      <c r="N1088" s="46"/>
      <c r="O1088" s="46"/>
      <c r="P1088" s="46"/>
      <c r="Q1088" s="46"/>
      <c r="R1088" s="46"/>
      <c r="S1088" s="46"/>
      <c r="T1088" s="46"/>
      <c r="U1088" s="46"/>
      <c r="V1088" s="46"/>
      <c r="W1088" s="46"/>
      <c r="X1088" s="46"/>
      <c r="Y1088" s="46"/>
      <c r="Z1088" s="46"/>
      <c r="AA1088" s="46"/>
    </row>
    <row r="1089">
      <c r="A1089" s="46"/>
      <c r="B1089" s="46"/>
      <c r="C1089" s="46"/>
      <c r="D1089" s="46"/>
      <c r="E1089" s="46"/>
      <c r="F1089" s="46"/>
      <c r="G1089" s="46"/>
      <c r="H1089" s="46"/>
      <c r="I1089" s="46"/>
      <c r="J1089" s="46"/>
      <c r="K1089" s="46"/>
      <c r="L1089" s="46"/>
      <c r="M1089" s="46"/>
      <c r="N1089" s="46"/>
      <c r="O1089" s="46"/>
      <c r="P1089" s="46"/>
      <c r="Q1089" s="46"/>
      <c r="R1089" s="46"/>
      <c r="S1089" s="46"/>
      <c r="T1089" s="46"/>
      <c r="U1089" s="46"/>
      <c r="V1089" s="46"/>
      <c r="W1089" s="46"/>
      <c r="X1089" s="46"/>
      <c r="Y1089" s="46"/>
      <c r="Z1089" s="46"/>
      <c r="AA1089" s="46"/>
    </row>
    <row r="1090">
      <c r="A1090" s="46"/>
      <c r="B1090" s="46"/>
      <c r="C1090" s="46"/>
      <c r="D1090" s="46"/>
      <c r="E1090" s="46"/>
      <c r="F1090" s="46"/>
      <c r="G1090" s="46"/>
      <c r="H1090" s="46"/>
      <c r="I1090" s="46"/>
      <c r="J1090" s="46"/>
      <c r="K1090" s="46"/>
      <c r="L1090" s="46"/>
      <c r="M1090" s="46"/>
      <c r="N1090" s="46"/>
      <c r="O1090" s="46"/>
      <c r="P1090" s="46"/>
      <c r="Q1090" s="46"/>
      <c r="R1090" s="46"/>
      <c r="S1090" s="46"/>
      <c r="T1090" s="46"/>
      <c r="U1090" s="46"/>
      <c r="V1090" s="46"/>
      <c r="W1090" s="46"/>
      <c r="X1090" s="46"/>
      <c r="Y1090" s="46"/>
      <c r="Z1090" s="46"/>
      <c r="AA1090" s="46"/>
    </row>
    <row r="1091">
      <c r="A1091" s="46"/>
      <c r="B1091" s="46"/>
      <c r="C1091" s="46"/>
      <c r="D1091" s="46"/>
      <c r="E1091" s="46"/>
      <c r="F1091" s="46"/>
      <c r="G1091" s="46"/>
      <c r="H1091" s="46"/>
      <c r="I1091" s="46"/>
      <c r="J1091" s="46"/>
      <c r="K1091" s="46"/>
      <c r="L1091" s="46"/>
      <c r="M1091" s="46"/>
      <c r="N1091" s="46"/>
      <c r="O1091" s="46"/>
      <c r="P1091" s="46"/>
      <c r="Q1091" s="46"/>
      <c r="R1091" s="46"/>
      <c r="S1091" s="46"/>
      <c r="T1091" s="46"/>
      <c r="U1091" s="46"/>
      <c r="V1091" s="46"/>
      <c r="W1091" s="46"/>
      <c r="X1091" s="46"/>
      <c r="Y1091" s="46"/>
      <c r="Z1091" s="46"/>
      <c r="AA1091" s="46"/>
    </row>
    <row r="1092">
      <c r="A1092" s="46"/>
      <c r="B1092" s="46"/>
      <c r="C1092" s="46"/>
      <c r="D1092" s="46"/>
      <c r="E1092" s="46"/>
      <c r="F1092" s="46"/>
      <c r="G1092" s="46"/>
      <c r="H1092" s="46"/>
      <c r="I1092" s="46"/>
      <c r="J1092" s="46"/>
      <c r="K1092" s="46"/>
      <c r="L1092" s="46"/>
      <c r="M1092" s="46"/>
      <c r="N1092" s="46"/>
      <c r="O1092" s="46"/>
      <c r="P1092" s="46"/>
      <c r="Q1092" s="46"/>
      <c r="R1092" s="46"/>
      <c r="S1092" s="46"/>
      <c r="T1092" s="46"/>
      <c r="U1092" s="46"/>
      <c r="V1092" s="46"/>
      <c r="W1092" s="46"/>
      <c r="X1092" s="46"/>
      <c r="Y1092" s="46"/>
      <c r="Z1092" s="46"/>
      <c r="AA1092" s="46"/>
    </row>
    <row r="1093">
      <c r="A1093" s="46"/>
      <c r="B1093" s="46"/>
      <c r="C1093" s="46"/>
      <c r="D1093" s="46"/>
      <c r="E1093" s="46"/>
      <c r="F1093" s="46"/>
      <c r="G1093" s="46"/>
      <c r="H1093" s="46"/>
      <c r="I1093" s="46"/>
      <c r="J1093" s="46"/>
      <c r="K1093" s="46"/>
      <c r="L1093" s="46"/>
      <c r="M1093" s="46"/>
      <c r="N1093" s="46"/>
      <c r="O1093" s="46"/>
      <c r="P1093" s="46"/>
      <c r="Q1093" s="46"/>
      <c r="R1093" s="46"/>
      <c r="S1093" s="46"/>
      <c r="T1093" s="46"/>
      <c r="U1093" s="46"/>
      <c r="V1093" s="46"/>
      <c r="W1093" s="46"/>
      <c r="X1093" s="46"/>
      <c r="Y1093" s="46"/>
      <c r="Z1093" s="46"/>
      <c r="AA1093" s="46"/>
    </row>
    <row r="1094">
      <c r="A1094" s="46"/>
      <c r="B1094" s="46"/>
      <c r="C1094" s="46"/>
      <c r="D1094" s="46"/>
      <c r="E1094" s="46"/>
      <c r="F1094" s="46"/>
      <c r="G1094" s="46"/>
      <c r="H1094" s="46"/>
      <c r="I1094" s="46"/>
      <c r="J1094" s="46"/>
      <c r="K1094" s="46"/>
      <c r="L1094" s="46"/>
      <c r="M1094" s="46"/>
      <c r="N1094" s="46"/>
      <c r="O1094" s="46"/>
      <c r="P1094" s="46"/>
      <c r="Q1094" s="46"/>
      <c r="R1094" s="46"/>
      <c r="S1094" s="46"/>
      <c r="T1094" s="46"/>
      <c r="U1094" s="46"/>
      <c r="V1094" s="46"/>
      <c r="W1094" s="46"/>
      <c r="X1094" s="46"/>
      <c r="Y1094" s="46"/>
      <c r="Z1094" s="46"/>
      <c r="AA1094" s="46"/>
    </row>
    <row r="1095">
      <c r="A1095" s="46"/>
      <c r="B1095" s="46"/>
      <c r="C1095" s="46"/>
      <c r="D1095" s="46"/>
      <c r="E1095" s="46"/>
      <c r="F1095" s="46"/>
      <c r="G1095" s="46"/>
      <c r="H1095" s="46"/>
      <c r="I1095" s="46"/>
      <c r="J1095" s="46"/>
      <c r="K1095" s="46"/>
      <c r="L1095" s="46"/>
      <c r="M1095" s="46"/>
      <c r="N1095" s="46"/>
      <c r="O1095" s="46"/>
      <c r="P1095" s="46"/>
      <c r="Q1095" s="46"/>
      <c r="R1095" s="46"/>
      <c r="S1095" s="46"/>
      <c r="T1095" s="46"/>
      <c r="U1095" s="46"/>
      <c r="V1095" s="46"/>
      <c r="W1095" s="46"/>
      <c r="X1095" s="46"/>
      <c r="Y1095" s="46"/>
      <c r="Z1095" s="46"/>
      <c r="AA1095" s="46"/>
    </row>
    <row r="1096">
      <c r="A1096" s="46"/>
      <c r="B1096" s="46"/>
      <c r="C1096" s="46"/>
      <c r="D1096" s="46"/>
      <c r="E1096" s="46"/>
      <c r="F1096" s="46"/>
      <c r="G1096" s="46"/>
      <c r="H1096" s="46"/>
      <c r="I1096" s="46"/>
      <c r="J1096" s="46"/>
      <c r="K1096" s="46"/>
      <c r="L1096" s="46"/>
      <c r="M1096" s="46"/>
      <c r="N1096" s="46"/>
      <c r="O1096" s="46"/>
      <c r="P1096" s="46"/>
      <c r="Q1096" s="46"/>
      <c r="R1096" s="46"/>
      <c r="S1096" s="46"/>
      <c r="T1096" s="46"/>
      <c r="U1096" s="46"/>
      <c r="V1096" s="46"/>
      <c r="W1096" s="46"/>
      <c r="X1096" s="46"/>
      <c r="Y1096" s="46"/>
      <c r="Z1096" s="46"/>
      <c r="AA1096" s="46"/>
    </row>
    <row r="1097">
      <c r="A1097" s="46"/>
      <c r="B1097" s="46"/>
      <c r="C1097" s="46"/>
      <c r="D1097" s="46"/>
      <c r="E1097" s="46"/>
      <c r="F1097" s="46"/>
      <c r="G1097" s="46"/>
      <c r="H1097" s="46"/>
      <c r="I1097" s="46"/>
      <c r="J1097" s="46"/>
      <c r="K1097" s="46"/>
      <c r="L1097" s="46"/>
      <c r="M1097" s="46"/>
      <c r="N1097" s="46"/>
      <c r="O1097" s="46"/>
      <c r="P1097" s="46"/>
      <c r="Q1097" s="46"/>
      <c r="R1097" s="46"/>
      <c r="S1097" s="46"/>
      <c r="T1097" s="46"/>
      <c r="U1097" s="46"/>
      <c r="V1097" s="46"/>
      <c r="W1097" s="46"/>
      <c r="X1097" s="46"/>
      <c r="Y1097" s="46"/>
      <c r="Z1097" s="46"/>
      <c r="AA1097" s="46"/>
    </row>
    <row r="1098">
      <c r="A1098" s="46"/>
      <c r="B1098" s="46"/>
      <c r="C1098" s="46"/>
      <c r="D1098" s="46"/>
      <c r="E1098" s="46"/>
      <c r="F1098" s="46"/>
      <c r="G1098" s="46"/>
      <c r="H1098" s="46"/>
      <c r="I1098" s="46"/>
      <c r="J1098" s="46"/>
      <c r="K1098" s="46"/>
      <c r="L1098" s="46"/>
      <c r="M1098" s="46"/>
      <c r="N1098" s="46"/>
      <c r="O1098" s="46"/>
      <c r="P1098" s="46"/>
      <c r="Q1098" s="46"/>
      <c r="R1098" s="46"/>
      <c r="S1098" s="46"/>
      <c r="T1098" s="46"/>
      <c r="U1098" s="46"/>
      <c r="V1098" s="46"/>
      <c r="W1098" s="46"/>
      <c r="X1098" s="46"/>
      <c r="Y1098" s="46"/>
      <c r="Z1098" s="46"/>
      <c r="AA1098" s="46"/>
    </row>
    <row r="1099">
      <c r="A1099" s="46"/>
      <c r="B1099" s="46"/>
      <c r="C1099" s="46"/>
      <c r="D1099" s="46"/>
      <c r="E1099" s="46"/>
      <c r="F1099" s="46"/>
      <c r="G1099" s="46"/>
      <c r="H1099" s="46"/>
      <c r="I1099" s="46"/>
      <c r="J1099" s="46"/>
      <c r="K1099" s="46"/>
      <c r="L1099" s="46"/>
      <c r="M1099" s="46"/>
      <c r="N1099" s="46"/>
      <c r="O1099" s="46"/>
      <c r="P1099" s="46"/>
      <c r="Q1099" s="46"/>
      <c r="R1099" s="46"/>
      <c r="S1099" s="46"/>
      <c r="T1099" s="46"/>
      <c r="U1099" s="46"/>
      <c r="V1099" s="46"/>
      <c r="W1099" s="46"/>
      <c r="X1099" s="46"/>
      <c r="Y1099" s="46"/>
      <c r="Z1099" s="46"/>
      <c r="AA1099" s="46"/>
    </row>
    <row r="1100">
      <c r="A1100" s="46"/>
      <c r="B1100" s="46"/>
      <c r="C1100" s="46"/>
      <c r="D1100" s="46"/>
      <c r="E1100" s="46"/>
      <c r="F1100" s="46"/>
      <c r="G1100" s="46"/>
      <c r="H1100" s="46"/>
      <c r="I1100" s="46"/>
      <c r="J1100" s="46"/>
      <c r="K1100" s="46"/>
      <c r="L1100" s="46"/>
      <c r="M1100" s="46"/>
      <c r="N1100" s="46"/>
      <c r="O1100" s="46"/>
      <c r="P1100" s="46"/>
      <c r="Q1100" s="46"/>
      <c r="R1100" s="46"/>
      <c r="S1100" s="46"/>
      <c r="T1100" s="46"/>
      <c r="U1100" s="46"/>
      <c r="V1100" s="46"/>
      <c r="W1100" s="46"/>
      <c r="X1100" s="46"/>
      <c r="Y1100" s="46"/>
      <c r="Z1100" s="46"/>
      <c r="AA1100" s="46"/>
    </row>
    <row r="1101">
      <c r="A1101" s="46"/>
      <c r="B1101" s="46"/>
      <c r="C1101" s="46"/>
      <c r="D1101" s="46"/>
      <c r="E1101" s="46"/>
      <c r="F1101" s="46"/>
      <c r="G1101" s="46"/>
      <c r="H1101" s="46"/>
      <c r="I1101" s="46"/>
      <c r="J1101" s="46"/>
      <c r="K1101" s="46"/>
      <c r="L1101" s="46"/>
      <c r="M1101" s="46"/>
      <c r="N1101" s="46"/>
      <c r="O1101" s="46"/>
      <c r="P1101" s="46"/>
      <c r="Q1101" s="46"/>
      <c r="R1101" s="46"/>
      <c r="S1101" s="46"/>
      <c r="T1101" s="46"/>
      <c r="U1101" s="46"/>
      <c r="V1101" s="46"/>
      <c r="W1101" s="46"/>
      <c r="X1101" s="46"/>
      <c r="Y1101" s="46"/>
      <c r="Z1101" s="46"/>
      <c r="AA1101" s="46"/>
    </row>
    <row r="1102">
      <c r="A1102" s="46"/>
      <c r="B1102" s="46"/>
      <c r="C1102" s="46"/>
      <c r="D1102" s="46"/>
      <c r="E1102" s="46"/>
      <c r="F1102" s="46"/>
      <c r="G1102" s="46"/>
      <c r="H1102" s="46"/>
      <c r="I1102" s="46"/>
      <c r="J1102" s="46"/>
      <c r="K1102" s="46"/>
      <c r="L1102" s="46"/>
      <c r="M1102" s="46"/>
      <c r="N1102" s="46"/>
      <c r="O1102" s="46"/>
      <c r="P1102" s="46"/>
      <c r="Q1102" s="46"/>
      <c r="R1102" s="46"/>
      <c r="S1102" s="46"/>
      <c r="T1102" s="46"/>
      <c r="U1102" s="46"/>
      <c r="V1102" s="46"/>
      <c r="W1102" s="46"/>
      <c r="X1102" s="46"/>
      <c r="Y1102" s="46"/>
      <c r="Z1102" s="46"/>
      <c r="AA1102" s="46"/>
    </row>
    <row r="1103">
      <c r="A1103" s="46"/>
      <c r="B1103" s="46"/>
      <c r="C1103" s="46"/>
      <c r="D1103" s="46"/>
      <c r="E1103" s="46"/>
      <c r="F1103" s="46"/>
      <c r="G1103" s="46"/>
      <c r="H1103" s="46"/>
      <c r="I1103" s="46"/>
      <c r="J1103" s="46"/>
      <c r="K1103" s="46"/>
      <c r="L1103" s="46"/>
      <c r="M1103" s="46"/>
      <c r="N1103" s="46"/>
      <c r="O1103" s="46"/>
      <c r="P1103" s="46"/>
      <c r="Q1103" s="46"/>
      <c r="R1103" s="46"/>
      <c r="S1103" s="46"/>
      <c r="T1103" s="46"/>
      <c r="U1103" s="46"/>
      <c r="V1103" s="46"/>
      <c r="W1103" s="46"/>
      <c r="X1103" s="46"/>
      <c r="Y1103" s="46"/>
      <c r="Z1103" s="46"/>
      <c r="AA1103" s="46"/>
    </row>
    <row r="1104">
      <c r="A1104" s="46"/>
      <c r="B1104" s="46"/>
      <c r="C1104" s="46"/>
      <c r="D1104" s="46"/>
      <c r="E1104" s="46"/>
      <c r="F1104" s="46"/>
      <c r="G1104" s="46"/>
      <c r="H1104" s="46"/>
      <c r="I1104" s="46"/>
      <c r="J1104" s="46"/>
      <c r="K1104" s="46"/>
      <c r="L1104" s="46"/>
      <c r="M1104" s="46"/>
      <c r="N1104" s="46"/>
      <c r="O1104" s="46"/>
      <c r="P1104" s="46"/>
      <c r="Q1104" s="46"/>
      <c r="R1104" s="46"/>
      <c r="S1104" s="46"/>
      <c r="T1104" s="46"/>
      <c r="U1104" s="46"/>
      <c r="V1104" s="46"/>
      <c r="W1104" s="46"/>
      <c r="X1104" s="46"/>
      <c r="Y1104" s="46"/>
      <c r="Z1104" s="46"/>
      <c r="AA1104" s="46"/>
    </row>
    <row r="1105">
      <c r="A1105" s="46"/>
      <c r="B1105" s="46"/>
      <c r="C1105" s="46"/>
      <c r="D1105" s="46"/>
      <c r="E1105" s="46"/>
      <c r="F1105" s="46"/>
      <c r="G1105" s="46"/>
      <c r="H1105" s="46"/>
      <c r="I1105" s="46"/>
      <c r="J1105" s="46"/>
      <c r="K1105" s="46"/>
      <c r="L1105" s="46"/>
      <c r="M1105" s="46"/>
      <c r="N1105" s="46"/>
      <c r="O1105" s="46"/>
      <c r="P1105" s="46"/>
      <c r="Q1105" s="46"/>
      <c r="R1105" s="46"/>
      <c r="S1105" s="46"/>
      <c r="T1105" s="46"/>
      <c r="U1105" s="46"/>
      <c r="V1105" s="46"/>
      <c r="W1105" s="46"/>
      <c r="X1105" s="46"/>
      <c r="Y1105" s="46"/>
      <c r="Z1105" s="46"/>
      <c r="AA1105" s="46"/>
    </row>
    <row r="1106">
      <c r="A1106" s="46"/>
      <c r="B1106" s="46"/>
      <c r="C1106" s="46"/>
      <c r="D1106" s="46"/>
      <c r="E1106" s="46"/>
      <c r="F1106" s="46"/>
      <c r="G1106" s="46"/>
      <c r="H1106" s="46"/>
      <c r="I1106" s="46"/>
      <c r="J1106" s="46"/>
      <c r="K1106" s="46"/>
      <c r="L1106" s="46"/>
      <c r="M1106" s="46"/>
      <c r="N1106" s="46"/>
      <c r="O1106" s="46"/>
      <c r="P1106" s="46"/>
      <c r="Q1106" s="46"/>
      <c r="R1106" s="46"/>
      <c r="S1106" s="46"/>
      <c r="T1106" s="46"/>
      <c r="U1106" s="46"/>
      <c r="V1106" s="46"/>
      <c r="W1106" s="46"/>
      <c r="X1106" s="46"/>
      <c r="Y1106" s="46"/>
      <c r="Z1106" s="46"/>
      <c r="AA1106" s="46"/>
    </row>
    <row r="1107">
      <c r="A1107" s="46"/>
      <c r="B1107" s="46"/>
      <c r="C1107" s="46"/>
      <c r="D1107" s="46"/>
      <c r="E1107" s="46"/>
      <c r="F1107" s="46"/>
      <c r="G1107" s="46"/>
      <c r="H1107" s="46"/>
      <c r="I1107" s="46"/>
      <c r="J1107" s="46"/>
      <c r="K1107" s="46"/>
      <c r="L1107" s="46"/>
      <c r="M1107" s="46"/>
      <c r="N1107" s="46"/>
      <c r="O1107" s="46"/>
      <c r="P1107" s="46"/>
      <c r="Q1107" s="46"/>
      <c r="R1107" s="46"/>
      <c r="S1107" s="46"/>
      <c r="T1107" s="46"/>
      <c r="U1107" s="46"/>
      <c r="V1107" s="46"/>
      <c r="W1107" s="46"/>
      <c r="X1107" s="46"/>
      <c r="Y1107" s="46"/>
      <c r="Z1107" s="46"/>
      <c r="AA1107" s="46"/>
    </row>
    <row r="1108">
      <c r="A1108" s="46"/>
      <c r="B1108" s="46"/>
      <c r="C1108" s="46"/>
      <c r="D1108" s="46"/>
      <c r="E1108" s="46"/>
      <c r="F1108" s="46"/>
      <c r="G1108" s="46"/>
      <c r="H1108" s="46"/>
      <c r="I1108" s="46"/>
      <c r="J1108" s="46"/>
      <c r="K1108" s="46"/>
      <c r="L1108" s="46"/>
      <c r="M1108" s="46"/>
      <c r="N1108" s="46"/>
      <c r="O1108" s="46"/>
      <c r="P1108" s="46"/>
      <c r="Q1108" s="46"/>
      <c r="R1108" s="46"/>
      <c r="S1108" s="46"/>
      <c r="T1108" s="46"/>
      <c r="U1108" s="46"/>
      <c r="V1108" s="46"/>
      <c r="W1108" s="46"/>
      <c r="X1108" s="46"/>
      <c r="Y1108" s="46"/>
      <c r="Z1108" s="46"/>
      <c r="AA1108" s="46"/>
    </row>
    <row r="1109">
      <c r="A1109" s="46"/>
      <c r="B1109" s="46"/>
      <c r="C1109" s="46"/>
      <c r="D1109" s="46"/>
      <c r="E1109" s="46"/>
      <c r="F1109" s="46"/>
      <c r="G1109" s="46"/>
      <c r="H1109" s="46"/>
      <c r="I1109" s="46"/>
      <c r="J1109" s="46"/>
      <c r="K1109" s="46"/>
      <c r="L1109" s="46"/>
      <c r="M1109" s="46"/>
      <c r="N1109" s="46"/>
      <c r="O1109" s="46"/>
      <c r="P1109" s="46"/>
      <c r="Q1109" s="46"/>
      <c r="R1109" s="46"/>
      <c r="S1109" s="46"/>
      <c r="T1109" s="46"/>
      <c r="U1109" s="46"/>
      <c r="V1109" s="46"/>
      <c r="W1109" s="46"/>
      <c r="X1109" s="46"/>
      <c r="Y1109" s="46"/>
      <c r="Z1109" s="46"/>
      <c r="AA1109" s="46"/>
    </row>
    <row r="1110">
      <c r="A1110" s="46"/>
      <c r="B1110" s="46"/>
      <c r="C1110" s="46"/>
      <c r="D1110" s="46"/>
      <c r="E1110" s="46"/>
      <c r="F1110" s="46"/>
      <c r="G1110" s="46"/>
      <c r="H1110" s="46"/>
      <c r="I1110" s="46"/>
      <c r="J1110" s="46"/>
      <c r="K1110" s="46"/>
      <c r="L1110" s="46"/>
      <c r="M1110" s="46"/>
      <c r="N1110" s="46"/>
      <c r="O1110" s="46"/>
      <c r="P1110" s="46"/>
      <c r="Q1110" s="46"/>
      <c r="R1110" s="46"/>
      <c r="S1110" s="46"/>
      <c r="T1110" s="46"/>
      <c r="U1110" s="46"/>
      <c r="V1110" s="46"/>
      <c r="W1110" s="46"/>
      <c r="X1110" s="46"/>
      <c r="Y1110" s="46"/>
      <c r="Z1110" s="46"/>
      <c r="AA1110" s="46"/>
    </row>
    <row r="1111">
      <c r="A1111" s="46"/>
      <c r="B1111" s="46"/>
      <c r="C1111" s="46"/>
      <c r="D1111" s="46"/>
      <c r="E1111" s="46"/>
      <c r="F1111" s="46"/>
      <c r="G1111" s="46"/>
      <c r="H1111" s="46"/>
      <c r="I1111" s="46"/>
      <c r="J1111" s="46"/>
      <c r="K1111" s="46"/>
      <c r="L1111" s="46"/>
      <c r="M1111" s="46"/>
      <c r="N1111" s="46"/>
      <c r="O1111" s="46"/>
      <c r="P1111" s="46"/>
      <c r="Q1111" s="46"/>
      <c r="R1111" s="46"/>
      <c r="S1111" s="46"/>
      <c r="T1111" s="46"/>
      <c r="U1111" s="46"/>
      <c r="V1111" s="46"/>
      <c r="W1111" s="46"/>
      <c r="X1111" s="46"/>
      <c r="Y1111" s="46"/>
      <c r="Z1111" s="46"/>
      <c r="AA1111" s="46"/>
    </row>
    <row r="1112">
      <c r="A1112" s="46"/>
      <c r="B1112" s="46"/>
      <c r="C1112" s="46"/>
      <c r="D1112" s="46"/>
      <c r="E1112" s="46"/>
      <c r="F1112" s="46"/>
      <c r="G1112" s="46"/>
      <c r="H1112" s="46"/>
      <c r="I1112" s="46"/>
      <c r="J1112" s="46"/>
      <c r="K1112" s="46"/>
      <c r="L1112" s="46"/>
      <c r="M1112" s="46"/>
      <c r="N1112" s="46"/>
      <c r="O1112" s="46"/>
      <c r="P1112" s="46"/>
      <c r="Q1112" s="46"/>
      <c r="R1112" s="46"/>
      <c r="S1112" s="46"/>
      <c r="T1112" s="46"/>
      <c r="U1112" s="46"/>
      <c r="V1112" s="46"/>
      <c r="W1112" s="46"/>
      <c r="X1112" s="46"/>
      <c r="Y1112" s="46"/>
      <c r="Z1112" s="46"/>
      <c r="AA1112" s="46"/>
    </row>
    <row r="1113">
      <c r="A1113" s="46"/>
      <c r="B1113" s="46"/>
      <c r="C1113" s="46"/>
      <c r="D1113" s="46"/>
      <c r="E1113" s="46"/>
      <c r="F1113" s="46"/>
      <c r="G1113" s="46"/>
      <c r="H1113" s="46"/>
      <c r="I1113" s="46"/>
      <c r="J1113" s="46"/>
      <c r="K1113" s="46"/>
      <c r="L1113" s="46"/>
      <c r="M1113" s="46"/>
      <c r="N1113" s="46"/>
      <c r="O1113" s="46"/>
      <c r="P1113" s="46"/>
      <c r="Q1113" s="46"/>
      <c r="R1113" s="46"/>
      <c r="S1113" s="46"/>
      <c r="T1113" s="46"/>
      <c r="U1113" s="46"/>
      <c r="V1113" s="46"/>
      <c r="W1113" s="46"/>
      <c r="X1113" s="46"/>
      <c r="Y1113" s="46"/>
      <c r="Z1113" s="46"/>
      <c r="AA1113" s="46"/>
    </row>
    <row r="1114">
      <c r="A1114" s="46"/>
      <c r="B1114" s="46"/>
      <c r="C1114" s="46"/>
      <c r="D1114" s="46"/>
      <c r="E1114" s="46"/>
      <c r="F1114" s="46"/>
      <c r="G1114" s="46"/>
      <c r="H1114" s="46"/>
      <c r="I1114" s="46"/>
      <c r="J1114" s="46"/>
      <c r="K1114" s="46"/>
      <c r="L1114" s="46"/>
      <c r="M1114" s="46"/>
      <c r="N1114" s="46"/>
      <c r="O1114" s="46"/>
      <c r="P1114" s="46"/>
      <c r="Q1114" s="46"/>
      <c r="R1114" s="46"/>
      <c r="S1114" s="46"/>
      <c r="T1114" s="46"/>
      <c r="U1114" s="46"/>
      <c r="V1114" s="46"/>
      <c r="W1114" s="46"/>
      <c r="X1114" s="46"/>
      <c r="Y1114" s="46"/>
      <c r="Z1114" s="46"/>
      <c r="AA1114" s="46"/>
    </row>
    <row r="1115">
      <c r="A1115" s="46"/>
      <c r="B1115" s="46"/>
      <c r="C1115" s="46"/>
      <c r="D1115" s="46"/>
      <c r="E1115" s="46"/>
      <c r="F1115" s="46"/>
      <c r="G1115" s="46"/>
      <c r="H1115" s="46"/>
      <c r="I1115" s="46"/>
      <c r="J1115" s="46"/>
      <c r="K1115" s="46"/>
      <c r="L1115" s="46"/>
      <c r="M1115" s="46"/>
      <c r="N1115" s="46"/>
      <c r="O1115" s="46"/>
      <c r="P1115" s="46"/>
      <c r="Q1115" s="46"/>
      <c r="R1115" s="46"/>
      <c r="S1115" s="46"/>
      <c r="T1115" s="46"/>
      <c r="U1115" s="46"/>
      <c r="V1115" s="46"/>
      <c r="W1115" s="46"/>
      <c r="X1115" s="46"/>
      <c r="Y1115" s="46"/>
      <c r="Z1115" s="46"/>
      <c r="AA1115" s="46"/>
    </row>
    <row r="1116">
      <c r="A1116" s="46"/>
      <c r="B1116" s="46"/>
      <c r="C1116" s="46"/>
      <c r="D1116" s="46"/>
      <c r="E1116" s="46"/>
      <c r="F1116" s="46"/>
      <c r="G1116" s="46"/>
      <c r="H1116" s="46"/>
      <c r="I1116" s="46"/>
      <c r="J1116" s="46"/>
      <c r="K1116" s="46"/>
      <c r="L1116" s="46"/>
      <c r="M1116" s="46"/>
      <c r="N1116" s="46"/>
      <c r="O1116" s="46"/>
      <c r="P1116" s="46"/>
      <c r="Q1116" s="46"/>
      <c r="R1116" s="46"/>
      <c r="S1116" s="46"/>
      <c r="T1116" s="46"/>
      <c r="U1116" s="46"/>
      <c r="V1116" s="46"/>
      <c r="W1116" s="46"/>
      <c r="X1116" s="46"/>
      <c r="Y1116" s="46"/>
      <c r="Z1116" s="46"/>
      <c r="AA1116" s="46"/>
    </row>
    <row r="1117">
      <c r="A1117" s="46"/>
      <c r="B1117" s="46"/>
      <c r="C1117" s="46"/>
      <c r="D1117" s="46"/>
      <c r="E1117" s="46"/>
      <c r="F1117" s="46"/>
      <c r="G1117" s="46"/>
      <c r="H1117" s="46"/>
      <c r="I1117" s="46"/>
      <c r="J1117" s="46"/>
      <c r="K1117" s="46"/>
      <c r="L1117" s="46"/>
      <c r="M1117" s="46"/>
      <c r="N1117" s="46"/>
      <c r="O1117" s="46"/>
      <c r="P1117" s="46"/>
      <c r="Q1117" s="46"/>
      <c r="R1117" s="46"/>
      <c r="S1117" s="46"/>
      <c r="T1117" s="46"/>
      <c r="U1117" s="46"/>
      <c r="V1117" s="46"/>
      <c r="W1117" s="46"/>
      <c r="X1117" s="46"/>
      <c r="Y1117" s="46"/>
      <c r="Z1117" s="46"/>
      <c r="AA1117" s="46"/>
    </row>
    <row r="1118">
      <c r="A1118" s="46"/>
      <c r="B1118" s="46"/>
      <c r="C1118" s="46"/>
      <c r="D1118" s="46"/>
      <c r="E1118" s="46"/>
      <c r="F1118" s="46"/>
      <c r="G1118" s="46"/>
      <c r="H1118" s="46"/>
      <c r="I1118" s="46"/>
      <c r="J1118" s="46"/>
      <c r="K1118" s="46"/>
      <c r="L1118" s="46"/>
      <c r="M1118" s="46"/>
      <c r="N1118" s="46"/>
      <c r="O1118" s="46"/>
      <c r="P1118" s="46"/>
      <c r="Q1118" s="46"/>
      <c r="R1118" s="46"/>
      <c r="S1118" s="46"/>
      <c r="T1118" s="46"/>
      <c r="U1118" s="46"/>
      <c r="V1118" s="46"/>
      <c r="W1118" s="46"/>
      <c r="X1118" s="46"/>
      <c r="Y1118" s="46"/>
      <c r="Z1118" s="46"/>
      <c r="AA1118" s="46"/>
    </row>
    <row r="1119">
      <c r="A1119" s="46"/>
      <c r="B1119" s="46"/>
      <c r="C1119" s="46"/>
      <c r="D1119" s="46"/>
      <c r="E1119" s="46"/>
      <c r="F1119" s="46"/>
      <c r="G1119" s="46"/>
      <c r="H1119" s="46"/>
      <c r="I1119" s="46"/>
      <c r="J1119" s="46"/>
      <c r="K1119" s="46"/>
      <c r="L1119" s="46"/>
      <c r="M1119" s="46"/>
      <c r="N1119" s="46"/>
      <c r="O1119" s="46"/>
      <c r="P1119" s="46"/>
      <c r="Q1119" s="46"/>
      <c r="R1119" s="46"/>
      <c r="S1119" s="46"/>
      <c r="T1119" s="46"/>
      <c r="U1119" s="46"/>
      <c r="V1119" s="46"/>
      <c r="W1119" s="46"/>
      <c r="X1119" s="46"/>
      <c r="Y1119" s="46"/>
      <c r="Z1119" s="46"/>
      <c r="AA1119" s="46"/>
    </row>
    <row r="1120">
      <c r="A1120" s="46"/>
      <c r="B1120" s="46"/>
      <c r="C1120" s="46"/>
      <c r="D1120" s="46"/>
      <c r="E1120" s="46"/>
      <c r="F1120" s="46"/>
      <c r="G1120" s="46"/>
      <c r="H1120" s="46"/>
      <c r="I1120" s="46"/>
      <c r="J1120" s="46"/>
      <c r="K1120" s="46"/>
      <c r="L1120" s="46"/>
      <c r="M1120" s="46"/>
      <c r="N1120" s="46"/>
      <c r="O1120" s="46"/>
      <c r="P1120" s="46"/>
      <c r="Q1120" s="46"/>
      <c r="R1120" s="46"/>
      <c r="S1120" s="46"/>
      <c r="T1120" s="46"/>
      <c r="U1120" s="46"/>
      <c r="V1120" s="46"/>
      <c r="W1120" s="46"/>
      <c r="X1120" s="46"/>
      <c r="Y1120" s="46"/>
      <c r="Z1120" s="46"/>
      <c r="AA1120" s="46"/>
    </row>
    <row r="1121">
      <c r="A1121" s="46"/>
      <c r="B1121" s="46"/>
      <c r="C1121" s="46"/>
      <c r="D1121" s="46"/>
      <c r="E1121" s="46"/>
      <c r="F1121" s="46"/>
      <c r="G1121" s="46"/>
      <c r="H1121" s="46"/>
      <c r="I1121" s="46"/>
      <c r="J1121" s="46"/>
      <c r="K1121" s="46"/>
      <c r="L1121" s="46"/>
      <c r="M1121" s="46"/>
      <c r="N1121" s="46"/>
      <c r="O1121" s="46"/>
      <c r="P1121" s="46"/>
      <c r="Q1121" s="46"/>
      <c r="R1121" s="46"/>
      <c r="S1121" s="46"/>
      <c r="T1121" s="46"/>
      <c r="U1121" s="46"/>
      <c r="V1121" s="46"/>
      <c r="W1121" s="46"/>
      <c r="X1121" s="46"/>
      <c r="Y1121" s="46"/>
      <c r="Z1121" s="46"/>
      <c r="AA1121" s="46"/>
    </row>
    <row r="1122">
      <c r="A1122" s="46"/>
      <c r="B1122" s="46"/>
      <c r="C1122" s="46"/>
      <c r="D1122" s="46"/>
      <c r="E1122" s="46"/>
      <c r="F1122" s="46"/>
      <c r="G1122" s="46"/>
      <c r="H1122" s="46"/>
      <c r="I1122" s="46"/>
      <c r="J1122" s="46"/>
      <c r="K1122" s="46"/>
      <c r="L1122" s="46"/>
      <c r="M1122" s="46"/>
      <c r="N1122" s="46"/>
      <c r="O1122" s="46"/>
      <c r="P1122" s="46"/>
      <c r="Q1122" s="46"/>
      <c r="R1122" s="46"/>
      <c r="S1122" s="46"/>
      <c r="T1122" s="46"/>
      <c r="U1122" s="46"/>
      <c r="V1122" s="46"/>
      <c r="W1122" s="46"/>
      <c r="X1122" s="46"/>
      <c r="Y1122" s="46"/>
      <c r="Z1122" s="46"/>
      <c r="AA1122" s="46"/>
    </row>
    <row r="1123">
      <c r="A1123" s="46"/>
      <c r="B1123" s="46"/>
      <c r="C1123" s="46"/>
      <c r="D1123" s="46"/>
      <c r="E1123" s="46"/>
      <c r="F1123" s="46"/>
      <c r="G1123" s="46"/>
      <c r="H1123" s="46"/>
      <c r="I1123" s="46"/>
      <c r="J1123" s="46"/>
      <c r="K1123" s="46"/>
      <c r="L1123" s="46"/>
      <c r="M1123" s="46"/>
      <c r="N1123" s="46"/>
      <c r="O1123" s="46"/>
      <c r="P1123" s="46"/>
      <c r="Q1123" s="46"/>
      <c r="R1123" s="46"/>
      <c r="S1123" s="46"/>
      <c r="T1123" s="46"/>
      <c r="U1123" s="46"/>
      <c r="V1123" s="46"/>
      <c r="W1123" s="46"/>
      <c r="X1123" s="46"/>
      <c r="Y1123" s="46"/>
      <c r="Z1123" s="46"/>
      <c r="AA1123" s="46"/>
    </row>
    <row r="1124">
      <c r="A1124" s="46"/>
      <c r="B1124" s="46"/>
      <c r="C1124" s="46"/>
      <c r="D1124" s="46"/>
      <c r="E1124" s="46"/>
      <c r="F1124" s="46"/>
      <c r="G1124" s="46"/>
      <c r="H1124" s="46"/>
      <c r="I1124" s="46"/>
      <c r="J1124" s="46"/>
      <c r="K1124" s="46"/>
      <c r="L1124" s="46"/>
      <c r="M1124" s="46"/>
      <c r="N1124" s="46"/>
      <c r="O1124" s="46"/>
      <c r="P1124" s="46"/>
      <c r="Q1124" s="46"/>
      <c r="R1124" s="46"/>
      <c r="S1124" s="46"/>
      <c r="T1124" s="46"/>
      <c r="U1124" s="46"/>
      <c r="V1124" s="46"/>
      <c r="W1124" s="46"/>
      <c r="X1124" s="46"/>
      <c r="Y1124" s="46"/>
      <c r="Z1124" s="46"/>
      <c r="AA1124" s="46"/>
    </row>
    <row r="1125">
      <c r="A1125" s="46"/>
      <c r="B1125" s="46"/>
      <c r="C1125" s="46"/>
      <c r="D1125" s="46"/>
      <c r="E1125" s="46"/>
      <c r="F1125" s="46"/>
      <c r="G1125" s="46"/>
      <c r="H1125" s="46"/>
      <c r="I1125" s="46"/>
      <c r="J1125" s="46"/>
      <c r="K1125" s="46"/>
      <c r="L1125" s="46"/>
      <c r="M1125" s="46"/>
      <c r="N1125" s="46"/>
      <c r="O1125" s="46"/>
      <c r="P1125" s="46"/>
      <c r="Q1125" s="46"/>
      <c r="R1125" s="46"/>
      <c r="S1125" s="46"/>
      <c r="T1125" s="46"/>
      <c r="U1125" s="46"/>
      <c r="V1125" s="46"/>
      <c r="W1125" s="46"/>
      <c r="X1125" s="46"/>
      <c r="Y1125" s="46"/>
      <c r="Z1125" s="46"/>
      <c r="AA1125" s="46"/>
    </row>
    <row r="1126">
      <c r="A1126" s="46"/>
      <c r="B1126" s="46"/>
      <c r="C1126" s="46"/>
      <c r="D1126" s="46"/>
      <c r="E1126" s="46"/>
      <c r="F1126" s="46"/>
      <c r="G1126" s="46"/>
      <c r="H1126" s="46"/>
      <c r="I1126" s="46"/>
      <c r="J1126" s="46"/>
      <c r="K1126" s="46"/>
      <c r="L1126" s="46"/>
      <c r="M1126" s="46"/>
      <c r="N1126" s="46"/>
      <c r="O1126" s="46"/>
      <c r="P1126" s="46"/>
      <c r="Q1126" s="46"/>
      <c r="R1126" s="46"/>
      <c r="S1126" s="46"/>
      <c r="T1126" s="46"/>
      <c r="U1126" s="46"/>
      <c r="V1126" s="46"/>
      <c r="W1126" s="46"/>
      <c r="X1126" s="46"/>
      <c r="Y1126" s="46"/>
      <c r="Z1126" s="46"/>
      <c r="AA1126" s="46"/>
    </row>
    <row r="1127">
      <c r="A1127" s="46"/>
      <c r="B1127" s="46"/>
      <c r="C1127" s="46"/>
      <c r="D1127" s="46"/>
      <c r="E1127" s="46"/>
      <c r="F1127" s="46"/>
      <c r="G1127" s="46"/>
      <c r="H1127" s="46"/>
      <c r="I1127" s="46"/>
      <c r="J1127" s="46"/>
      <c r="K1127" s="46"/>
      <c r="L1127" s="46"/>
      <c r="M1127" s="46"/>
      <c r="N1127" s="46"/>
      <c r="O1127" s="46"/>
      <c r="P1127" s="46"/>
      <c r="Q1127" s="46"/>
      <c r="R1127" s="46"/>
      <c r="S1127" s="46"/>
      <c r="T1127" s="46"/>
      <c r="U1127" s="46"/>
      <c r="V1127" s="46"/>
      <c r="W1127" s="46"/>
      <c r="X1127" s="46"/>
      <c r="Y1127" s="46"/>
      <c r="Z1127" s="46"/>
      <c r="AA1127" s="46"/>
    </row>
    <row r="1128">
      <c r="A1128" s="46"/>
      <c r="B1128" s="46"/>
      <c r="C1128" s="46"/>
      <c r="D1128" s="46"/>
      <c r="E1128" s="46"/>
      <c r="F1128" s="46"/>
      <c r="G1128" s="46"/>
      <c r="H1128" s="46"/>
      <c r="I1128" s="46"/>
      <c r="J1128" s="46"/>
      <c r="K1128" s="46"/>
      <c r="L1128" s="46"/>
      <c r="M1128" s="46"/>
      <c r="N1128" s="46"/>
      <c r="O1128" s="46"/>
      <c r="P1128" s="46"/>
      <c r="Q1128" s="46"/>
      <c r="R1128" s="46"/>
      <c r="S1128" s="46"/>
      <c r="T1128" s="46"/>
      <c r="U1128" s="46"/>
      <c r="V1128" s="46"/>
      <c r="W1128" s="46"/>
      <c r="X1128" s="46"/>
      <c r="Y1128" s="46"/>
      <c r="Z1128" s="46"/>
      <c r="AA1128" s="46"/>
    </row>
    <row r="1129">
      <c r="A1129" s="46"/>
      <c r="B1129" s="46"/>
      <c r="C1129" s="46"/>
      <c r="D1129" s="46"/>
      <c r="E1129" s="46"/>
      <c r="F1129" s="46"/>
      <c r="G1129" s="46"/>
      <c r="H1129" s="46"/>
      <c r="I1129" s="46"/>
      <c r="J1129" s="46"/>
      <c r="K1129" s="46"/>
      <c r="L1129" s="46"/>
      <c r="M1129" s="46"/>
      <c r="N1129" s="46"/>
      <c r="O1129" s="46"/>
      <c r="P1129" s="46"/>
      <c r="Q1129" s="46"/>
      <c r="R1129" s="46"/>
      <c r="S1129" s="46"/>
      <c r="T1129" s="46"/>
      <c r="U1129" s="46"/>
      <c r="V1129" s="46"/>
      <c r="W1129" s="46"/>
      <c r="X1129" s="46"/>
      <c r="Y1129" s="46"/>
      <c r="Z1129" s="46"/>
      <c r="AA1129" s="46"/>
    </row>
    <row r="1130">
      <c r="A1130" s="46"/>
      <c r="B1130" s="46"/>
      <c r="C1130" s="46"/>
      <c r="D1130" s="46"/>
      <c r="E1130" s="46"/>
      <c r="F1130" s="46"/>
      <c r="G1130" s="46"/>
      <c r="H1130" s="46"/>
      <c r="I1130" s="46"/>
      <c r="J1130" s="46"/>
      <c r="K1130" s="46"/>
      <c r="L1130" s="46"/>
      <c r="M1130" s="46"/>
      <c r="N1130" s="46"/>
      <c r="O1130" s="46"/>
      <c r="P1130" s="46"/>
      <c r="Q1130" s="46"/>
      <c r="R1130" s="46"/>
      <c r="S1130" s="46"/>
      <c r="T1130" s="46"/>
      <c r="U1130" s="46"/>
      <c r="V1130" s="46"/>
      <c r="W1130" s="46"/>
      <c r="X1130" s="46"/>
      <c r="Y1130" s="46"/>
      <c r="Z1130" s="46"/>
      <c r="AA1130" s="46"/>
    </row>
    <row r="1131">
      <c r="A1131" s="46"/>
      <c r="B1131" s="46"/>
      <c r="C1131" s="46"/>
      <c r="D1131" s="46"/>
      <c r="E1131" s="46"/>
      <c r="F1131" s="46"/>
      <c r="G1131" s="46"/>
      <c r="H1131" s="46"/>
      <c r="I1131" s="46"/>
      <c r="J1131" s="46"/>
      <c r="K1131" s="46"/>
      <c r="L1131" s="46"/>
      <c r="M1131" s="46"/>
      <c r="N1131" s="46"/>
      <c r="O1131" s="46"/>
      <c r="P1131" s="46"/>
      <c r="Q1131" s="46"/>
      <c r="R1131" s="46"/>
      <c r="S1131" s="46"/>
      <c r="T1131" s="46"/>
      <c r="U1131" s="46"/>
      <c r="V1131" s="46"/>
      <c r="W1131" s="46"/>
      <c r="X1131" s="46"/>
      <c r="Y1131" s="46"/>
      <c r="Z1131" s="46"/>
      <c r="AA1131" s="46"/>
    </row>
    <row r="1132">
      <c r="A1132" s="46"/>
      <c r="B1132" s="46"/>
      <c r="C1132" s="46"/>
      <c r="D1132" s="46"/>
      <c r="E1132" s="46"/>
      <c r="F1132" s="46"/>
      <c r="G1132" s="46"/>
      <c r="H1132" s="46"/>
      <c r="I1132" s="46"/>
      <c r="J1132" s="46"/>
      <c r="K1132" s="46"/>
      <c r="L1132" s="46"/>
      <c r="M1132" s="46"/>
      <c r="N1132" s="46"/>
      <c r="O1132" s="46"/>
      <c r="P1132" s="46"/>
      <c r="Q1132" s="46"/>
      <c r="R1132" s="46"/>
      <c r="S1132" s="46"/>
      <c r="T1132" s="46"/>
      <c r="U1132" s="46"/>
      <c r="V1132" s="46"/>
      <c r="W1132" s="46"/>
      <c r="X1132" s="46"/>
      <c r="Y1132" s="46"/>
      <c r="Z1132" s="46"/>
      <c r="AA1132" s="46"/>
    </row>
    <row r="1133">
      <c r="A1133" s="46"/>
      <c r="B1133" s="46"/>
      <c r="C1133" s="46"/>
      <c r="D1133" s="46"/>
      <c r="E1133" s="46"/>
      <c r="F1133" s="46"/>
      <c r="G1133" s="46"/>
      <c r="H1133" s="46"/>
      <c r="I1133" s="46"/>
      <c r="J1133" s="46"/>
      <c r="K1133" s="46"/>
      <c r="L1133" s="46"/>
      <c r="M1133" s="46"/>
      <c r="N1133" s="46"/>
      <c r="O1133" s="46"/>
      <c r="P1133" s="46"/>
      <c r="Q1133" s="46"/>
      <c r="R1133" s="46"/>
      <c r="S1133" s="46"/>
      <c r="T1133" s="46"/>
      <c r="U1133" s="46"/>
      <c r="V1133" s="46"/>
      <c r="W1133" s="46"/>
      <c r="X1133" s="46"/>
      <c r="Y1133" s="46"/>
      <c r="Z1133" s="46"/>
      <c r="AA1133" s="46"/>
    </row>
    <row r="1134">
      <c r="A1134" s="46"/>
      <c r="B1134" s="46"/>
      <c r="C1134" s="46"/>
      <c r="D1134" s="46"/>
      <c r="E1134" s="46"/>
      <c r="F1134" s="46"/>
      <c r="G1134" s="46"/>
      <c r="H1134" s="46"/>
      <c r="I1134" s="46"/>
      <c r="J1134" s="46"/>
      <c r="K1134" s="46"/>
      <c r="L1134" s="46"/>
      <c r="M1134" s="46"/>
      <c r="N1134" s="46"/>
      <c r="O1134" s="46"/>
      <c r="P1134" s="46"/>
      <c r="Q1134" s="46"/>
      <c r="R1134" s="46"/>
      <c r="S1134" s="46"/>
      <c r="T1134" s="46"/>
      <c r="U1134" s="46"/>
      <c r="V1134" s="46"/>
      <c r="W1134" s="46"/>
      <c r="X1134" s="46"/>
      <c r="Y1134" s="46"/>
      <c r="Z1134" s="46"/>
      <c r="AA1134" s="46"/>
    </row>
    <row r="1135">
      <c r="A1135" s="46"/>
      <c r="B1135" s="46"/>
      <c r="C1135" s="46"/>
      <c r="D1135" s="46"/>
      <c r="E1135" s="46"/>
      <c r="F1135" s="46"/>
      <c r="G1135" s="46"/>
      <c r="H1135" s="46"/>
      <c r="I1135" s="46"/>
      <c r="J1135" s="46"/>
      <c r="K1135" s="46"/>
      <c r="L1135" s="46"/>
      <c r="M1135" s="46"/>
      <c r="N1135" s="46"/>
      <c r="O1135" s="46"/>
      <c r="P1135" s="46"/>
      <c r="Q1135" s="46"/>
      <c r="R1135" s="46"/>
      <c r="S1135" s="46"/>
      <c r="T1135" s="46"/>
      <c r="U1135" s="46"/>
      <c r="V1135" s="46"/>
      <c r="W1135" s="46"/>
      <c r="X1135" s="46"/>
      <c r="Y1135" s="46"/>
      <c r="Z1135" s="46"/>
      <c r="AA1135" s="46"/>
    </row>
    <row r="1136">
      <c r="A1136" s="46"/>
      <c r="B1136" s="46"/>
      <c r="C1136" s="46"/>
      <c r="D1136" s="46"/>
      <c r="E1136" s="46"/>
      <c r="F1136" s="46"/>
      <c r="G1136" s="46"/>
      <c r="H1136" s="46"/>
      <c r="I1136" s="46"/>
      <c r="J1136" s="46"/>
      <c r="K1136" s="46"/>
      <c r="L1136" s="46"/>
      <c r="M1136" s="46"/>
      <c r="N1136" s="46"/>
      <c r="O1136" s="46"/>
      <c r="P1136" s="46"/>
      <c r="Q1136" s="46"/>
      <c r="R1136" s="46"/>
      <c r="S1136" s="46"/>
      <c r="T1136" s="46"/>
      <c r="U1136" s="46"/>
      <c r="V1136" s="46"/>
      <c r="W1136" s="46"/>
      <c r="X1136" s="46"/>
      <c r="Y1136" s="46"/>
      <c r="Z1136" s="46"/>
      <c r="AA1136" s="46"/>
    </row>
    <row r="1137">
      <c r="A1137" s="46"/>
      <c r="B1137" s="46"/>
      <c r="C1137" s="46"/>
      <c r="D1137" s="46"/>
      <c r="E1137" s="46"/>
      <c r="F1137" s="46"/>
      <c r="G1137" s="46"/>
      <c r="H1137" s="46"/>
      <c r="I1137" s="46"/>
      <c r="J1137" s="46"/>
      <c r="K1137" s="46"/>
      <c r="L1137" s="46"/>
      <c r="M1137" s="46"/>
      <c r="N1137" s="46"/>
      <c r="O1137" s="46"/>
      <c r="P1137" s="46"/>
      <c r="Q1137" s="46"/>
      <c r="R1137" s="46"/>
      <c r="S1137" s="46"/>
      <c r="T1137" s="46"/>
      <c r="U1137" s="46"/>
      <c r="V1137" s="46"/>
      <c r="W1137" s="46"/>
      <c r="X1137" s="46"/>
      <c r="Y1137" s="46"/>
      <c r="Z1137" s="46"/>
      <c r="AA1137" s="46"/>
    </row>
    <row r="1138">
      <c r="A1138" s="46"/>
      <c r="B1138" s="46"/>
      <c r="C1138" s="46"/>
      <c r="D1138" s="46"/>
      <c r="E1138" s="46"/>
      <c r="F1138" s="46"/>
      <c r="G1138" s="46"/>
      <c r="H1138" s="46"/>
      <c r="I1138" s="46"/>
      <c r="J1138" s="46"/>
      <c r="K1138" s="46"/>
      <c r="L1138" s="46"/>
      <c r="M1138" s="46"/>
      <c r="N1138" s="46"/>
      <c r="O1138" s="46"/>
      <c r="P1138" s="46"/>
      <c r="Q1138" s="46"/>
      <c r="R1138" s="46"/>
      <c r="S1138" s="46"/>
      <c r="T1138" s="46"/>
      <c r="U1138" s="46"/>
      <c r="V1138" s="46"/>
      <c r="W1138" s="46"/>
      <c r="X1138" s="46"/>
      <c r="Y1138" s="46"/>
      <c r="Z1138" s="46"/>
      <c r="AA1138" s="46"/>
    </row>
    <row r="1139">
      <c r="A1139" s="46"/>
      <c r="B1139" s="46"/>
      <c r="C1139" s="46"/>
      <c r="D1139" s="46"/>
      <c r="E1139" s="46"/>
      <c r="F1139" s="46"/>
      <c r="G1139" s="46"/>
      <c r="H1139" s="46"/>
      <c r="I1139" s="46"/>
      <c r="J1139" s="46"/>
      <c r="K1139" s="46"/>
      <c r="L1139" s="46"/>
      <c r="M1139" s="46"/>
      <c r="N1139" s="46"/>
      <c r="O1139" s="46"/>
      <c r="P1139" s="46"/>
      <c r="Q1139" s="46"/>
      <c r="R1139" s="46"/>
      <c r="S1139" s="46"/>
      <c r="T1139" s="46"/>
      <c r="U1139" s="46"/>
      <c r="V1139" s="46"/>
      <c r="W1139" s="46"/>
      <c r="X1139" s="46"/>
      <c r="Y1139" s="46"/>
      <c r="Z1139" s="46"/>
      <c r="AA1139" s="46"/>
    </row>
    <row r="1140">
      <c r="A1140" s="46"/>
      <c r="B1140" s="46"/>
      <c r="C1140" s="46"/>
      <c r="D1140" s="46"/>
      <c r="E1140" s="46"/>
      <c r="F1140" s="46"/>
      <c r="G1140" s="46"/>
      <c r="H1140" s="46"/>
      <c r="I1140" s="46"/>
      <c r="J1140" s="46"/>
      <c r="K1140" s="46"/>
      <c r="L1140" s="46"/>
      <c r="M1140" s="46"/>
      <c r="N1140" s="46"/>
      <c r="O1140" s="46"/>
      <c r="P1140" s="46"/>
      <c r="Q1140" s="46"/>
      <c r="R1140" s="46"/>
      <c r="S1140" s="46"/>
      <c r="T1140" s="46"/>
      <c r="U1140" s="46"/>
      <c r="V1140" s="46"/>
      <c r="W1140" s="46"/>
      <c r="X1140" s="46"/>
      <c r="Y1140" s="46"/>
      <c r="Z1140" s="46"/>
      <c r="AA1140" s="46"/>
    </row>
    <row r="1141">
      <c r="A1141" s="46"/>
      <c r="B1141" s="46"/>
      <c r="C1141" s="46"/>
      <c r="D1141" s="46"/>
      <c r="E1141" s="46"/>
      <c r="F1141" s="46"/>
      <c r="G1141" s="46"/>
      <c r="H1141" s="46"/>
      <c r="I1141" s="46"/>
      <c r="J1141" s="46"/>
      <c r="K1141" s="46"/>
      <c r="L1141" s="46"/>
      <c r="M1141" s="46"/>
      <c r="N1141" s="46"/>
      <c r="O1141" s="46"/>
      <c r="P1141" s="46"/>
      <c r="Q1141" s="46"/>
      <c r="R1141" s="46"/>
      <c r="S1141" s="46"/>
      <c r="T1141" s="46"/>
      <c r="U1141" s="46"/>
      <c r="V1141" s="46"/>
      <c r="W1141" s="46"/>
      <c r="X1141" s="46"/>
      <c r="Y1141" s="46"/>
      <c r="Z1141" s="46"/>
      <c r="AA1141" s="46"/>
    </row>
    <row r="1142">
      <c r="A1142" s="46"/>
      <c r="B1142" s="46"/>
      <c r="C1142" s="46"/>
      <c r="D1142" s="46"/>
      <c r="E1142" s="46"/>
      <c r="F1142" s="46"/>
      <c r="G1142" s="46"/>
      <c r="H1142" s="46"/>
      <c r="I1142" s="46"/>
      <c r="J1142" s="46"/>
      <c r="K1142" s="46"/>
      <c r="L1142" s="46"/>
      <c r="M1142" s="46"/>
      <c r="N1142" s="46"/>
      <c r="O1142" s="46"/>
      <c r="P1142" s="46"/>
      <c r="Q1142" s="46"/>
      <c r="R1142" s="46"/>
      <c r="S1142" s="46"/>
      <c r="T1142" s="46"/>
      <c r="U1142" s="46"/>
      <c r="V1142" s="46"/>
      <c r="W1142" s="46"/>
      <c r="X1142" s="46"/>
      <c r="Y1142" s="46"/>
      <c r="Z1142" s="46"/>
      <c r="AA1142" s="46"/>
    </row>
    <row r="1143">
      <c r="A1143" s="46"/>
      <c r="B1143" s="46"/>
      <c r="C1143" s="46"/>
      <c r="D1143" s="46"/>
      <c r="E1143" s="46"/>
      <c r="F1143" s="46"/>
      <c r="G1143" s="46"/>
      <c r="H1143" s="46"/>
      <c r="I1143" s="46"/>
      <c r="J1143" s="46"/>
      <c r="K1143" s="46"/>
      <c r="L1143" s="46"/>
      <c r="M1143" s="46"/>
      <c r="N1143" s="46"/>
      <c r="O1143" s="46"/>
      <c r="P1143" s="46"/>
      <c r="Q1143" s="46"/>
      <c r="R1143" s="46"/>
      <c r="S1143" s="46"/>
      <c r="T1143" s="46"/>
      <c r="U1143" s="46"/>
      <c r="V1143" s="46"/>
      <c r="W1143" s="46"/>
      <c r="X1143" s="46"/>
      <c r="Y1143" s="46"/>
      <c r="Z1143" s="46"/>
      <c r="AA1143" s="46"/>
    </row>
    <row r="1144">
      <c r="A1144" s="46"/>
      <c r="B1144" s="46"/>
      <c r="C1144" s="46"/>
      <c r="D1144" s="46"/>
      <c r="E1144" s="46"/>
      <c r="F1144" s="46"/>
      <c r="G1144" s="46"/>
      <c r="H1144" s="46"/>
      <c r="I1144" s="46"/>
      <c r="J1144" s="46"/>
      <c r="K1144" s="46"/>
      <c r="L1144" s="46"/>
      <c r="M1144" s="46"/>
      <c r="N1144" s="46"/>
      <c r="O1144" s="46"/>
      <c r="P1144" s="46"/>
      <c r="Q1144" s="46"/>
      <c r="R1144" s="46"/>
      <c r="S1144" s="46"/>
      <c r="T1144" s="46"/>
      <c r="U1144" s="46"/>
      <c r="V1144" s="46"/>
      <c r="W1144" s="46"/>
      <c r="X1144" s="46"/>
      <c r="Y1144" s="46"/>
      <c r="Z1144" s="46"/>
      <c r="AA1144" s="46"/>
    </row>
    <row r="1145">
      <c r="A1145" s="46"/>
      <c r="B1145" s="46"/>
      <c r="C1145" s="46"/>
      <c r="D1145" s="46"/>
      <c r="E1145" s="46"/>
      <c r="F1145" s="46"/>
      <c r="G1145" s="46"/>
      <c r="H1145" s="46"/>
      <c r="I1145" s="46"/>
      <c r="J1145" s="46"/>
      <c r="K1145" s="46"/>
      <c r="L1145" s="46"/>
      <c r="M1145" s="46"/>
      <c r="N1145" s="46"/>
      <c r="O1145" s="46"/>
      <c r="P1145" s="46"/>
      <c r="Q1145" s="46"/>
      <c r="R1145" s="46"/>
      <c r="S1145" s="46"/>
      <c r="T1145" s="46"/>
      <c r="U1145" s="46"/>
      <c r="V1145" s="46"/>
      <c r="W1145" s="46"/>
      <c r="X1145" s="46"/>
      <c r="Y1145" s="46"/>
      <c r="Z1145" s="46"/>
      <c r="AA1145" s="46"/>
    </row>
    <row r="1146">
      <c r="A1146" s="46"/>
      <c r="B1146" s="46"/>
      <c r="C1146" s="46"/>
      <c r="D1146" s="46"/>
      <c r="E1146" s="46"/>
      <c r="F1146" s="46"/>
      <c r="G1146" s="46"/>
      <c r="H1146" s="46"/>
      <c r="I1146" s="46"/>
      <c r="J1146" s="46"/>
      <c r="K1146" s="46"/>
      <c r="L1146" s="46"/>
      <c r="M1146" s="46"/>
      <c r="N1146" s="46"/>
      <c r="O1146" s="46"/>
      <c r="P1146" s="46"/>
      <c r="Q1146" s="46"/>
      <c r="R1146" s="46"/>
      <c r="S1146" s="46"/>
      <c r="T1146" s="46"/>
      <c r="U1146" s="46"/>
      <c r="V1146" s="46"/>
      <c r="W1146" s="46"/>
      <c r="X1146" s="46"/>
      <c r="Y1146" s="46"/>
      <c r="Z1146" s="46"/>
      <c r="AA1146" s="46"/>
    </row>
    <row r="1147">
      <c r="A1147" s="46"/>
      <c r="B1147" s="46"/>
      <c r="C1147" s="46"/>
      <c r="D1147" s="46"/>
      <c r="E1147" s="46"/>
      <c r="F1147" s="46"/>
      <c r="G1147" s="46"/>
      <c r="H1147" s="46"/>
      <c r="I1147" s="46"/>
      <c r="J1147" s="46"/>
      <c r="K1147" s="46"/>
      <c r="L1147" s="46"/>
      <c r="M1147" s="46"/>
      <c r="N1147" s="46"/>
      <c r="O1147" s="46"/>
      <c r="P1147" s="46"/>
      <c r="Q1147" s="46"/>
      <c r="R1147" s="46"/>
      <c r="S1147" s="46"/>
      <c r="T1147" s="46"/>
      <c r="U1147" s="46"/>
      <c r="V1147" s="46"/>
      <c r="W1147" s="46"/>
      <c r="X1147" s="46"/>
      <c r="Y1147" s="46"/>
      <c r="Z1147" s="46"/>
      <c r="AA1147" s="46"/>
    </row>
    <row r="1148">
      <c r="A1148" s="46"/>
      <c r="B1148" s="46"/>
      <c r="C1148" s="46"/>
      <c r="D1148" s="46"/>
      <c r="E1148" s="46"/>
      <c r="F1148" s="46"/>
      <c r="G1148" s="46"/>
      <c r="H1148" s="46"/>
      <c r="I1148" s="46"/>
      <c r="J1148" s="46"/>
      <c r="K1148" s="46"/>
      <c r="L1148" s="46"/>
      <c r="M1148" s="46"/>
      <c r="N1148" s="46"/>
      <c r="O1148" s="46"/>
      <c r="P1148" s="46"/>
      <c r="Q1148" s="46"/>
      <c r="R1148" s="46"/>
      <c r="S1148" s="46"/>
      <c r="T1148" s="46"/>
      <c r="U1148" s="46"/>
      <c r="V1148" s="46"/>
      <c r="W1148" s="46"/>
      <c r="X1148" s="46"/>
      <c r="Y1148" s="46"/>
      <c r="Z1148" s="46"/>
      <c r="AA1148" s="46"/>
    </row>
    <row r="1149">
      <c r="A1149" s="46"/>
      <c r="B1149" s="46"/>
      <c r="C1149" s="46"/>
      <c r="D1149" s="46"/>
      <c r="E1149" s="46"/>
      <c r="F1149" s="46"/>
      <c r="G1149" s="46"/>
      <c r="H1149" s="46"/>
      <c r="I1149" s="46"/>
      <c r="J1149" s="46"/>
      <c r="K1149" s="46"/>
      <c r="L1149" s="46"/>
      <c r="M1149" s="46"/>
      <c r="N1149" s="46"/>
      <c r="O1149" s="46"/>
      <c r="P1149" s="46"/>
      <c r="Q1149" s="46"/>
      <c r="R1149" s="46"/>
      <c r="S1149" s="46"/>
      <c r="T1149" s="46"/>
      <c r="U1149" s="46"/>
      <c r="V1149" s="46"/>
      <c r="W1149" s="46"/>
      <c r="X1149" s="46"/>
      <c r="Y1149" s="46"/>
      <c r="Z1149" s="46"/>
      <c r="AA1149" s="46"/>
    </row>
    <row r="1150">
      <c r="A1150" s="46"/>
      <c r="B1150" s="46"/>
      <c r="C1150" s="46"/>
      <c r="D1150" s="46"/>
      <c r="E1150" s="46"/>
      <c r="F1150" s="46"/>
      <c r="G1150" s="46"/>
      <c r="H1150" s="46"/>
      <c r="I1150" s="46"/>
      <c r="J1150" s="46"/>
      <c r="K1150" s="46"/>
      <c r="L1150" s="46"/>
      <c r="M1150" s="46"/>
      <c r="N1150" s="46"/>
      <c r="O1150" s="46"/>
      <c r="P1150" s="46"/>
      <c r="Q1150" s="46"/>
      <c r="R1150" s="46"/>
      <c r="S1150" s="46"/>
      <c r="T1150" s="46"/>
      <c r="U1150" s="46"/>
      <c r="V1150" s="46"/>
      <c r="W1150" s="46"/>
      <c r="X1150" s="46"/>
      <c r="Y1150" s="46"/>
      <c r="Z1150" s="46"/>
      <c r="AA1150" s="46"/>
    </row>
    <row r="1151">
      <c r="A1151" s="46"/>
      <c r="B1151" s="46"/>
      <c r="C1151" s="46"/>
      <c r="D1151" s="46"/>
      <c r="E1151" s="46"/>
      <c r="F1151" s="46"/>
      <c r="G1151" s="46"/>
      <c r="H1151" s="46"/>
      <c r="I1151" s="46"/>
      <c r="J1151" s="46"/>
      <c r="K1151" s="46"/>
      <c r="L1151" s="46"/>
      <c r="M1151" s="46"/>
      <c r="N1151" s="46"/>
      <c r="O1151" s="46"/>
      <c r="P1151" s="46"/>
      <c r="Q1151" s="46"/>
      <c r="R1151" s="46"/>
      <c r="S1151" s="46"/>
      <c r="T1151" s="46"/>
      <c r="U1151" s="46"/>
      <c r="V1151" s="46"/>
      <c r="W1151" s="46"/>
      <c r="X1151" s="46"/>
      <c r="Y1151" s="46"/>
      <c r="Z1151" s="46"/>
      <c r="AA1151" s="46"/>
    </row>
    <row r="1152">
      <c r="A1152" s="46"/>
      <c r="B1152" s="46"/>
      <c r="C1152" s="46"/>
      <c r="D1152" s="46"/>
      <c r="E1152" s="46"/>
      <c r="F1152" s="46"/>
      <c r="G1152" s="46"/>
      <c r="H1152" s="46"/>
      <c r="I1152" s="46"/>
      <c r="J1152" s="46"/>
      <c r="K1152" s="46"/>
      <c r="L1152" s="46"/>
      <c r="M1152" s="46"/>
      <c r="N1152" s="46"/>
      <c r="O1152" s="46"/>
      <c r="P1152" s="46"/>
      <c r="Q1152" s="46"/>
      <c r="R1152" s="46"/>
      <c r="S1152" s="46"/>
      <c r="T1152" s="46"/>
      <c r="U1152" s="46"/>
      <c r="V1152" s="46"/>
      <c r="W1152" s="46"/>
      <c r="X1152" s="46"/>
      <c r="Y1152" s="46"/>
      <c r="Z1152" s="46"/>
      <c r="AA1152" s="46"/>
    </row>
    <row r="1153">
      <c r="A1153" s="46"/>
      <c r="B1153" s="46"/>
      <c r="C1153" s="46"/>
      <c r="D1153" s="46"/>
      <c r="E1153" s="46"/>
      <c r="F1153" s="46"/>
      <c r="G1153" s="46"/>
      <c r="H1153" s="46"/>
      <c r="I1153" s="46"/>
      <c r="J1153" s="46"/>
      <c r="K1153" s="46"/>
      <c r="L1153" s="46"/>
      <c r="M1153" s="46"/>
      <c r="N1153" s="46"/>
      <c r="O1153" s="46"/>
      <c r="P1153" s="46"/>
      <c r="Q1153" s="46"/>
      <c r="R1153" s="46"/>
      <c r="S1153" s="46"/>
      <c r="T1153" s="46"/>
      <c r="U1153" s="46"/>
      <c r="V1153" s="46"/>
      <c r="W1153" s="46"/>
      <c r="X1153" s="46"/>
      <c r="Y1153" s="46"/>
      <c r="Z1153" s="46"/>
      <c r="AA1153" s="46"/>
    </row>
    <row r="1154">
      <c r="A1154" s="46"/>
      <c r="B1154" s="46"/>
      <c r="C1154" s="46"/>
      <c r="D1154" s="46"/>
      <c r="E1154" s="46"/>
      <c r="F1154" s="46"/>
      <c r="G1154" s="46"/>
      <c r="H1154" s="46"/>
      <c r="I1154" s="46"/>
      <c r="J1154" s="46"/>
      <c r="K1154" s="46"/>
      <c r="L1154" s="46"/>
      <c r="M1154" s="46"/>
      <c r="N1154" s="46"/>
      <c r="O1154" s="46"/>
      <c r="P1154" s="46"/>
      <c r="Q1154" s="46"/>
      <c r="R1154" s="46"/>
      <c r="S1154" s="46"/>
      <c r="T1154" s="46"/>
      <c r="U1154" s="46"/>
      <c r="V1154" s="46"/>
      <c r="W1154" s="46"/>
      <c r="X1154" s="46"/>
      <c r="Y1154" s="46"/>
      <c r="Z1154" s="46"/>
      <c r="AA1154" s="46"/>
    </row>
    <row r="1155">
      <c r="A1155" s="46"/>
      <c r="B1155" s="46"/>
      <c r="C1155" s="46"/>
      <c r="D1155" s="46"/>
      <c r="E1155" s="46"/>
      <c r="F1155" s="46"/>
      <c r="G1155" s="46"/>
      <c r="H1155" s="46"/>
      <c r="I1155" s="46"/>
      <c r="J1155" s="46"/>
      <c r="K1155" s="46"/>
      <c r="L1155" s="46"/>
      <c r="M1155" s="46"/>
      <c r="N1155" s="46"/>
      <c r="O1155" s="46"/>
      <c r="P1155" s="46"/>
      <c r="Q1155" s="46"/>
      <c r="R1155" s="46"/>
      <c r="S1155" s="46"/>
      <c r="T1155" s="46"/>
      <c r="U1155" s="46"/>
      <c r="V1155" s="46"/>
      <c r="W1155" s="46"/>
      <c r="X1155" s="46"/>
      <c r="Y1155" s="46"/>
      <c r="Z1155" s="46"/>
      <c r="AA1155" s="46"/>
    </row>
    <row r="1156">
      <c r="A1156" s="46"/>
      <c r="B1156" s="46"/>
      <c r="C1156" s="46"/>
      <c r="D1156" s="46"/>
      <c r="E1156" s="46"/>
      <c r="F1156" s="46"/>
      <c r="G1156" s="46"/>
      <c r="H1156" s="46"/>
      <c r="I1156" s="46"/>
      <c r="J1156" s="46"/>
      <c r="K1156" s="46"/>
      <c r="L1156" s="46"/>
      <c r="M1156" s="46"/>
      <c r="N1156" s="46"/>
      <c r="O1156" s="46"/>
      <c r="P1156" s="46"/>
      <c r="Q1156" s="46"/>
      <c r="R1156" s="46"/>
      <c r="S1156" s="46"/>
      <c r="T1156" s="46"/>
      <c r="U1156" s="46"/>
      <c r="V1156" s="46"/>
      <c r="W1156" s="46"/>
      <c r="X1156" s="46"/>
      <c r="Y1156" s="46"/>
      <c r="Z1156" s="46"/>
      <c r="AA1156" s="46"/>
    </row>
    <row r="1157">
      <c r="A1157" s="46"/>
      <c r="B1157" s="46"/>
      <c r="C1157" s="46"/>
      <c r="D1157" s="46"/>
      <c r="E1157" s="46"/>
      <c r="F1157" s="46"/>
      <c r="G1157" s="46"/>
      <c r="H1157" s="46"/>
      <c r="I1157" s="46"/>
      <c r="J1157" s="46"/>
      <c r="K1157" s="46"/>
      <c r="L1157" s="46"/>
      <c r="M1157" s="46"/>
      <c r="N1157" s="46"/>
      <c r="O1157" s="46"/>
      <c r="P1157" s="46"/>
      <c r="Q1157" s="46"/>
      <c r="R1157" s="46"/>
      <c r="S1157" s="46"/>
      <c r="T1157" s="46"/>
      <c r="U1157" s="46"/>
      <c r="V1157" s="46"/>
      <c r="W1157" s="46"/>
      <c r="X1157" s="46"/>
      <c r="Y1157" s="46"/>
      <c r="Z1157" s="46"/>
      <c r="AA1157" s="46"/>
    </row>
    <row r="1158">
      <c r="A1158" s="46"/>
      <c r="B1158" s="46"/>
      <c r="C1158" s="46"/>
      <c r="D1158" s="46"/>
      <c r="E1158" s="46"/>
      <c r="F1158" s="46"/>
      <c r="G1158" s="46"/>
      <c r="H1158" s="46"/>
      <c r="I1158" s="46"/>
      <c r="J1158" s="46"/>
      <c r="K1158" s="46"/>
      <c r="L1158" s="46"/>
      <c r="M1158" s="46"/>
      <c r="N1158" s="46"/>
      <c r="O1158" s="46"/>
      <c r="P1158" s="46"/>
      <c r="Q1158" s="46"/>
      <c r="R1158" s="46"/>
      <c r="S1158" s="46"/>
      <c r="T1158" s="46"/>
      <c r="U1158" s="46"/>
      <c r="V1158" s="46"/>
      <c r="W1158" s="46"/>
      <c r="X1158" s="46"/>
      <c r="Y1158" s="46"/>
      <c r="Z1158" s="46"/>
      <c r="AA1158" s="46"/>
    </row>
    <row r="1159">
      <c r="A1159" s="46"/>
      <c r="B1159" s="46"/>
      <c r="C1159" s="46"/>
      <c r="D1159" s="46"/>
      <c r="E1159" s="46"/>
      <c r="F1159" s="46"/>
      <c r="G1159" s="46"/>
      <c r="H1159" s="46"/>
      <c r="I1159" s="46"/>
      <c r="J1159" s="46"/>
      <c r="K1159" s="46"/>
      <c r="L1159" s="46"/>
      <c r="M1159" s="46"/>
      <c r="N1159" s="46"/>
      <c r="O1159" s="46"/>
      <c r="P1159" s="46"/>
      <c r="Q1159" s="46"/>
      <c r="R1159" s="46"/>
      <c r="S1159" s="46"/>
      <c r="T1159" s="46"/>
      <c r="U1159" s="46"/>
      <c r="V1159" s="46"/>
      <c r="W1159" s="46"/>
      <c r="X1159" s="46"/>
      <c r="Y1159" s="46"/>
      <c r="Z1159" s="46"/>
      <c r="AA1159" s="46"/>
    </row>
    <row r="1160">
      <c r="A1160" s="46"/>
      <c r="B1160" s="46"/>
      <c r="C1160" s="46"/>
      <c r="D1160" s="46"/>
      <c r="E1160" s="46"/>
      <c r="F1160" s="46"/>
      <c r="G1160" s="46"/>
      <c r="H1160" s="46"/>
      <c r="I1160" s="46"/>
      <c r="J1160" s="46"/>
      <c r="K1160" s="46"/>
      <c r="L1160" s="46"/>
      <c r="M1160" s="46"/>
      <c r="N1160" s="46"/>
      <c r="O1160" s="46"/>
      <c r="P1160" s="46"/>
      <c r="Q1160" s="46"/>
      <c r="R1160" s="46"/>
      <c r="S1160" s="46"/>
      <c r="T1160" s="46"/>
      <c r="U1160" s="46"/>
      <c r="V1160" s="46"/>
      <c r="W1160" s="46"/>
      <c r="X1160" s="46"/>
      <c r="Y1160" s="46"/>
      <c r="Z1160" s="46"/>
      <c r="AA1160" s="46"/>
    </row>
    <row r="1161">
      <c r="A1161" s="46"/>
      <c r="B1161" s="46"/>
      <c r="C1161" s="46"/>
      <c r="D1161" s="46"/>
      <c r="E1161" s="46"/>
      <c r="F1161" s="46"/>
      <c r="G1161" s="46"/>
      <c r="H1161" s="46"/>
      <c r="I1161" s="46"/>
      <c r="J1161" s="46"/>
      <c r="K1161" s="46"/>
      <c r="L1161" s="46"/>
      <c r="M1161" s="46"/>
      <c r="N1161" s="46"/>
      <c r="O1161" s="46"/>
      <c r="P1161" s="46"/>
      <c r="Q1161" s="46"/>
      <c r="R1161" s="46"/>
      <c r="S1161" s="46"/>
      <c r="T1161" s="46"/>
      <c r="U1161" s="46"/>
      <c r="V1161" s="46"/>
      <c r="W1161" s="46"/>
      <c r="X1161" s="46"/>
      <c r="Y1161" s="46"/>
      <c r="Z1161" s="46"/>
      <c r="AA1161" s="46"/>
    </row>
    <row r="1162">
      <c r="A1162" s="46"/>
      <c r="B1162" s="46"/>
      <c r="C1162" s="46"/>
      <c r="D1162" s="46"/>
      <c r="E1162" s="46"/>
      <c r="F1162" s="46"/>
      <c r="G1162" s="46"/>
      <c r="H1162" s="46"/>
      <c r="I1162" s="46"/>
      <c r="J1162" s="46"/>
      <c r="K1162" s="46"/>
      <c r="L1162" s="46"/>
      <c r="M1162" s="46"/>
      <c r="N1162" s="46"/>
      <c r="O1162" s="46"/>
      <c r="P1162" s="46"/>
      <c r="Q1162" s="46"/>
      <c r="R1162" s="46"/>
      <c r="S1162" s="46"/>
      <c r="T1162" s="46"/>
      <c r="U1162" s="46"/>
      <c r="V1162" s="46"/>
      <c r="W1162" s="46"/>
      <c r="X1162" s="46"/>
      <c r="Y1162" s="46"/>
      <c r="Z1162" s="46"/>
      <c r="AA1162" s="46"/>
    </row>
    <row r="1163">
      <c r="A1163" s="46"/>
      <c r="B1163" s="46"/>
      <c r="C1163" s="46"/>
      <c r="D1163" s="46"/>
      <c r="E1163" s="46"/>
      <c r="F1163" s="46"/>
      <c r="G1163" s="46"/>
      <c r="H1163" s="46"/>
      <c r="I1163" s="46"/>
      <c r="J1163" s="46"/>
      <c r="K1163" s="46"/>
      <c r="L1163" s="46"/>
      <c r="M1163" s="46"/>
      <c r="N1163" s="46"/>
      <c r="O1163" s="46"/>
      <c r="P1163" s="46"/>
      <c r="Q1163" s="46"/>
      <c r="R1163" s="46"/>
      <c r="S1163" s="46"/>
      <c r="T1163" s="46"/>
      <c r="U1163" s="46"/>
      <c r="V1163" s="46"/>
      <c r="W1163" s="46"/>
      <c r="X1163" s="46"/>
      <c r="Y1163" s="46"/>
      <c r="Z1163" s="46"/>
      <c r="AA1163" s="46"/>
    </row>
    <row r="1164">
      <c r="A1164" s="46"/>
      <c r="B1164" s="46"/>
      <c r="C1164" s="46"/>
      <c r="D1164" s="46"/>
      <c r="E1164" s="46"/>
      <c r="F1164" s="46"/>
      <c r="G1164" s="46"/>
      <c r="H1164" s="46"/>
      <c r="I1164" s="46"/>
      <c r="J1164" s="46"/>
      <c r="K1164" s="46"/>
      <c r="L1164" s="46"/>
      <c r="M1164" s="46"/>
      <c r="N1164" s="46"/>
      <c r="O1164" s="46"/>
      <c r="P1164" s="46"/>
      <c r="Q1164" s="46"/>
      <c r="R1164" s="46"/>
      <c r="S1164" s="46"/>
      <c r="T1164" s="46"/>
      <c r="U1164" s="46"/>
      <c r="V1164" s="46"/>
      <c r="W1164" s="46"/>
      <c r="X1164" s="46"/>
      <c r="Y1164" s="46"/>
      <c r="Z1164" s="46"/>
      <c r="AA1164" s="46"/>
    </row>
    <row r="1165">
      <c r="A1165" s="46"/>
      <c r="B1165" s="46"/>
      <c r="C1165" s="46"/>
      <c r="D1165" s="46"/>
      <c r="E1165" s="46"/>
      <c r="F1165" s="46"/>
      <c r="G1165" s="46"/>
      <c r="H1165" s="46"/>
      <c r="I1165" s="46"/>
      <c r="J1165" s="46"/>
      <c r="K1165" s="46"/>
      <c r="L1165" s="46"/>
      <c r="M1165" s="46"/>
      <c r="N1165" s="46"/>
      <c r="O1165" s="46"/>
      <c r="P1165" s="46"/>
      <c r="Q1165" s="46"/>
      <c r="R1165" s="46"/>
      <c r="S1165" s="46"/>
      <c r="T1165" s="46"/>
      <c r="U1165" s="46"/>
      <c r="V1165" s="46"/>
      <c r="W1165" s="46"/>
      <c r="X1165" s="46"/>
      <c r="Y1165" s="46"/>
      <c r="Z1165" s="46"/>
      <c r="AA1165" s="46"/>
    </row>
    <row r="1166">
      <c r="A1166" s="46"/>
      <c r="B1166" s="46"/>
      <c r="C1166" s="46"/>
      <c r="D1166" s="46"/>
      <c r="E1166" s="46"/>
      <c r="F1166" s="46"/>
      <c r="G1166" s="46"/>
      <c r="H1166" s="46"/>
      <c r="I1166" s="46"/>
      <c r="J1166" s="46"/>
      <c r="K1166" s="46"/>
      <c r="L1166" s="46"/>
      <c r="M1166" s="46"/>
      <c r="N1166" s="46"/>
      <c r="O1166" s="46"/>
      <c r="P1166" s="46"/>
      <c r="Q1166" s="46"/>
      <c r="R1166" s="46"/>
      <c r="S1166" s="46"/>
      <c r="T1166" s="46"/>
      <c r="U1166" s="46"/>
      <c r="V1166" s="46"/>
      <c r="W1166" s="46"/>
      <c r="X1166" s="46"/>
      <c r="Y1166" s="46"/>
      <c r="Z1166" s="46"/>
      <c r="AA1166" s="46"/>
    </row>
    <row r="1167">
      <c r="A1167" s="46"/>
      <c r="B1167" s="46"/>
      <c r="C1167" s="46"/>
      <c r="D1167" s="46"/>
      <c r="E1167" s="46"/>
      <c r="F1167" s="46"/>
      <c r="G1167" s="46"/>
      <c r="H1167" s="46"/>
      <c r="I1167" s="46"/>
      <c r="J1167" s="46"/>
      <c r="K1167" s="46"/>
      <c r="L1167" s="46"/>
      <c r="M1167" s="46"/>
      <c r="N1167" s="46"/>
      <c r="O1167" s="46"/>
      <c r="P1167" s="46"/>
      <c r="Q1167" s="46"/>
      <c r="R1167" s="46"/>
      <c r="S1167" s="46"/>
      <c r="T1167" s="46"/>
      <c r="U1167" s="46"/>
      <c r="V1167" s="46"/>
      <c r="W1167" s="46"/>
      <c r="X1167" s="46"/>
      <c r="Y1167" s="46"/>
      <c r="Z1167" s="46"/>
      <c r="AA1167" s="46"/>
    </row>
    <row r="1168">
      <c r="A1168" s="46"/>
      <c r="B1168" s="46"/>
      <c r="C1168" s="46"/>
      <c r="D1168" s="46"/>
      <c r="E1168" s="46"/>
      <c r="F1168" s="46"/>
      <c r="G1168" s="46"/>
      <c r="H1168" s="46"/>
      <c r="I1168" s="46"/>
      <c r="J1168" s="46"/>
      <c r="K1168" s="46"/>
      <c r="L1168" s="46"/>
      <c r="M1168" s="46"/>
      <c r="N1168" s="46"/>
      <c r="O1168" s="46"/>
      <c r="P1168" s="46"/>
      <c r="Q1168" s="46"/>
      <c r="R1168" s="46"/>
      <c r="S1168" s="46"/>
      <c r="T1168" s="46"/>
      <c r="U1168" s="46"/>
      <c r="V1168" s="46"/>
      <c r="W1168" s="46"/>
      <c r="X1168" s="46"/>
      <c r="Y1168" s="46"/>
      <c r="Z1168" s="46"/>
      <c r="AA1168" s="46"/>
    </row>
    <row r="1169">
      <c r="A1169" s="46"/>
      <c r="B1169" s="46"/>
      <c r="C1169" s="46"/>
      <c r="D1169" s="46"/>
      <c r="E1169" s="46"/>
      <c r="F1169" s="46"/>
      <c r="G1169" s="46"/>
      <c r="H1169" s="46"/>
      <c r="I1169" s="46"/>
      <c r="J1169" s="46"/>
      <c r="K1169" s="46"/>
      <c r="L1169" s="46"/>
      <c r="M1169" s="46"/>
      <c r="N1169" s="46"/>
      <c r="O1169" s="46"/>
      <c r="P1169" s="46"/>
      <c r="Q1169" s="46"/>
      <c r="R1169" s="46"/>
      <c r="S1169" s="46"/>
      <c r="T1169" s="46"/>
      <c r="U1169" s="46"/>
      <c r="V1169" s="46"/>
      <c r="W1169" s="46"/>
      <c r="X1169" s="46"/>
      <c r="Y1169" s="46"/>
      <c r="Z1169" s="46"/>
      <c r="AA1169" s="46"/>
    </row>
    <row r="1170">
      <c r="A1170" s="46"/>
      <c r="B1170" s="46"/>
      <c r="C1170" s="46"/>
      <c r="D1170" s="46"/>
      <c r="E1170" s="46"/>
      <c r="F1170" s="46"/>
      <c r="G1170" s="46"/>
      <c r="H1170" s="46"/>
      <c r="I1170" s="46"/>
      <c r="J1170" s="46"/>
      <c r="K1170" s="46"/>
      <c r="L1170" s="46"/>
      <c r="M1170" s="46"/>
      <c r="N1170" s="46"/>
      <c r="O1170" s="46"/>
      <c r="P1170" s="46"/>
      <c r="Q1170" s="46"/>
      <c r="R1170" s="46"/>
      <c r="S1170" s="46"/>
      <c r="T1170" s="46"/>
      <c r="U1170" s="46"/>
      <c r="V1170" s="46"/>
      <c r="W1170" s="46"/>
      <c r="X1170" s="46"/>
      <c r="Y1170" s="46"/>
      <c r="Z1170" s="46"/>
      <c r="AA1170" s="46"/>
    </row>
    <row r="1171">
      <c r="A1171" s="46"/>
      <c r="B1171" s="46"/>
      <c r="C1171" s="46"/>
      <c r="D1171" s="46"/>
      <c r="E1171" s="46"/>
      <c r="F1171" s="46"/>
      <c r="G1171" s="46"/>
      <c r="H1171" s="46"/>
      <c r="I1171" s="46"/>
      <c r="J1171" s="46"/>
      <c r="K1171" s="46"/>
      <c r="L1171" s="46"/>
      <c r="M1171" s="46"/>
      <c r="N1171" s="46"/>
      <c r="O1171" s="46"/>
      <c r="P1171" s="46"/>
      <c r="Q1171" s="46"/>
      <c r="R1171" s="46"/>
      <c r="S1171" s="46"/>
      <c r="T1171" s="46"/>
      <c r="U1171" s="46"/>
      <c r="V1171" s="46"/>
      <c r="W1171" s="46"/>
      <c r="X1171" s="46"/>
      <c r="Y1171" s="46"/>
      <c r="Z1171" s="46"/>
      <c r="AA1171" s="46"/>
    </row>
    <row r="1172">
      <c r="A1172" s="46"/>
      <c r="B1172" s="46"/>
      <c r="C1172" s="46"/>
      <c r="D1172" s="46"/>
      <c r="E1172" s="46"/>
      <c r="F1172" s="46"/>
      <c r="G1172" s="46"/>
      <c r="H1172" s="46"/>
      <c r="I1172" s="46"/>
      <c r="J1172" s="46"/>
      <c r="K1172" s="46"/>
      <c r="L1172" s="46"/>
      <c r="M1172" s="46"/>
      <c r="N1172" s="46"/>
      <c r="O1172" s="46"/>
      <c r="P1172" s="46"/>
      <c r="Q1172" s="46"/>
      <c r="R1172" s="46"/>
      <c r="S1172" s="46"/>
      <c r="T1172" s="46"/>
      <c r="U1172" s="46"/>
      <c r="V1172" s="46"/>
      <c r="W1172" s="46"/>
      <c r="X1172" s="46"/>
      <c r="Y1172" s="46"/>
      <c r="Z1172" s="46"/>
      <c r="AA1172" s="46"/>
    </row>
    <row r="1173">
      <c r="A1173" s="46"/>
      <c r="B1173" s="46"/>
      <c r="C1173" s="46"/>
      <c r="D1173" s="46"/>
      <c r="E1173" s="46"/>
      <c r="F1173" s="46"/>
      <c r="G1173" s="46"/>
      <c r="H1173" s="46"/>
      <c r="I1173" s="46"/>
      <c r="J1173" s="46"/>
      <c r="K1173" s="46"/>
      <c r="L1173" s="46"/>
      <c r="M1173" s="46"/>
      <c r="N1173" s="46"/>
      <c r="O1173" s="46"/>
      <c r="P1173" s="46"/>
      <c r="Q1173" s="46"/>
      <c r="R1173" s="46"/>
      <c r="S1173" s="46"/>
      <c r="T1173" s="46"/>
      <c r="U1173" s="46"/>
      <c r="V1173" s="46"/>
      <c r="W1173" s="46"/>
      <c r="X1173" s="46"/>
      <c r="Y1173" s="46"/>
      <c r="Z1173" s="46"/>
      <c r="AA1173" s="46"/>
    </row>
    <row r="1174">
      <c r="A1174" s="46"/>
      <c r="B1174" s="46"/>
      <c r="C1174" s="46"/>
      <c r="D1174" s="46"/>
      <c r="E1174" s="46"/>
      <c r="F1174" s="46"/>
      <c r="G1174" s="46"/>
      <c r="H1174" s="46"/>
      <c r="I1174" s="46"/>
      <c r="J1174" s="46"/>
      <c r="K1174" s="46"/>
      <c r="L1174" s="46"/>
      <c r="M1174" s="46"/>
      <c r="N1174" s="46"/>
      <c r="O1174" s="46"/>
      <c r="P1174" s="46"/>
      <c r="Q1174" s="46"/>
      <c r="R1174" s="46"/>
      <c r="S1174" s="46"/>
      <c r="T1174" s="46"/>
      <c r="U1174" s="46"/>
      <c r="V1174" s="46"/>
      <c r="W1174" s="46"/>
      <c r="X1174" s="46"/>
      <c r="Y1174" s="46"/>
      <c r="Z1174" s="46"/>
      <c r="AA1174" s="46"/>
    </row>
    <row r="1175">
      <c r="A1175" s="46"/>
      <c r="B1175" s="46"/>
      <c r="C1175" s="46"/>
      <c r="D1175" s="46"/>
      <c r="E1175" s="46"/>
      <c r="F1175" s="46"/>
      <c r="G1175" s="46"/>
      <c r="H1175" s="46"/>
      <c r="I1175" s="46"/>
      <c r="J1175" s="46"/>
      <c r="K1175" s="46"/>
      <c r="L1175" s="46"/>
      <c r="M1175" s="46"/>
      <c r="N1175" s="46"/>
      <c r="O1175" s="46"/>
      <c r="P1175" s="46"/>
      <c r="Q1175" s="46"/>
      <c r="R1175" s="46"/>
      <c r="S1175" s="46"/>
      <c r="T1175" s="46"/>
      <c r="U1175" s="46"/>
      <c r="V1175" s="46"/>
      <c r="W1175" s="46"/>
      <c r="X1175" s="46"/>
      <c r="Y1175" s="46"/>
      <c r="Z1175" s="46"/>
      <c r="AA1175" s="46"/>
    </row>
    <row r="1176">
      <c r="A1176" s="46"/>
      <c r="B1176" s="46"/>
      <c r="C1176" s="46"/>
      <c r="D1176" s="46"/>
      <c r="E1176" s="46"/>
      <c r="F1176" s="46"/>
      <c r="G1176" s="46"/>
      <c r="H1176" s="46"/>
      <c r="I1176" s="46"/>
      <c r="J1176" s="46"/>
      <c r="K1176" s="46"/>
      <c r="L1176" s="46"/>
      <c r="M1176" s="46"/>
      <c r="N1176" s="46"/>
      <c r="O1176" s="46"/>
      <c r="P1176" s="46"/>
      <c r="Q1176" s="46"/>
      <c r="R1176" s="46"/>
      <c r="S1176" s="46"/>
      <c r="T1176" s="46"/>
      <c r="U1176" s="46"/>
      <c r="V1176" s="46"/>
      <c r="W1176" s="46"/>
      <c r="X1176" s="46"/>
      <c r="Y1176" s="46"/>
      <c r="Z1176" s="46"/>
      <c r="AA1176" s="46"/>
    </row>
    <row r="1177">
      <c r="A1177" s="46"/>
      <c r="B1177" s="46"/>
      <c r="C1177" s="46"/>
      <c r="D1177" s="46"/>
      <c r="E1177" s="46"/>
      <c r="F1177" s="46"/>
      <c r="G1177" s="46"/>
      <c r="H1177" s="46"/>
      <c r="I1177" s="46"/>
      <c r="J1177" s="46"/>
      <c r="K1177" s="46"/>
      <c r="L1177" s="46"/>
      <c r="M1177" s="46"/>
      <c r="N1177" s="46"/>
      <c r="O1177" s="46"/>
      <c r="P1177" s="46"/>
      <c r="Q1177" s="46"/>
      <c r="R1177" s="46"/>
      <c r="S1177" s="46"/>
      <c r="T1177" s="46"/>
      <c r="U1177" s="46"/>
      <c r="V1177" s="46"/>
      <c r="W1177" s="46"/>
      <c r="X1177" s="46"/>
      <c r="Y1177" s="46"/>
      <c r="Z1177" s="46"/>
      <c r="AA1177" s="46"/>
    </row>
    <row r="1178">
      <c r="A1178" s="46"/>
      <c r="B1178" s="46"/>
      <c r="C1178" s="46"/>
      <c r="D1178" s="46"/>
      <c r="E1178" s="46"/>
      <c r="F1178" s="46"/>
      <c r="G1178" s="46"/>
      <c r="H1178" s="46"/>
      <c r="I1178" s="46"/>
      <c r="J1178" s="46"/>
      <c r="K1178" s="46"/>
      <c r="L1178" s="46"/>
      <c r="M1178" s="46"/>
      <c r="N1178" s="46"/>
      <c r="O1178" s="46"/>
      <c r="P1178" s="46"/>
      <c r="Q1178" s="46"/>
      <c r="R1178" s="46"/>
      <c r="S1178" s="46"/>
      <c r="T1178" s="46"/>
      <c r="U1178" s="46"/>
      <c r="V1178" s="46"/>
      <c r="W1178" s="46"/>
      <c r="X1178" s="46"/>
      <c r="Y1178" s="46"/>
      <c r="Z1178" s="46"/>
      <c r="AA1178" s="46"/>
    </row>
    <row r="1179">
      <c r="A1179" s="46"/>
      <c r="B1179" s="46"/>
      <c r="C1179" s="46"/>
      <c r="D1179" s="46"/>
      <c r="E1179" s="46"/>
      <c r="F1179" s="46"/>
      <c r="G1179" s="46"/>
      <c r="H1179" s="46"/>
      <c r="I1179" s="46"/>
      <c r="J1179" s="46"/>
      <c r="K1179" s="46"/>
      <c r="L1179" s="46"/>
      <c r="M1179" s="46"/>
      <c r="N1179" s="46"/>
      <c r="O1179" s="46"/>
      <c r="P1179" s="46"/>
      <c r="Q1179" s="46"/>
      <c r="R1179" s="46"/>
      <c r="S1179" s="46"/>
      <c r="T1179" s="46"/>
      <c r="U1179" s="46"/>
      <c r="V1179" s="46"/>
      <c r="W1179" s="46"/>
      <c r="X1179" s="46"/>
      <c r="Y1179" s="46"/>
      <c r="Z1179" s="46"/>
      <c r="AA1179" s="46"/>
    </row>
    <row r="1180">
      <c r="A1180" s="46"/>
      <c r="B1180" s="46"/>
      <c r="C1180" s="46"/>
      <c r="D1180" s="46"/>
      <c r="E1180" s="46"/>
      <c r="F1180" s="46"/>
      <c r="G1180" s="46"/>
      <c r="H1180" s="46"/>
      <c r="I1180" s="46"/>
      <c r="J1180" s="46"/>
      <c r="K1180" s="46"/>
      <c r="L1180" s="46"/>
      <c r="M1180" s="46"/>
      <c r="N1180" s="46"/>
      <c r="O1180" s="46"/>
      <c r="P1180" s="46"/>
      <c r="Q1180" s="46"/>
      <c r="R1180" s="46"/>
      <c r="S1180" s="46"/>
      <c r="T1180" s="46"/>
      <c r="U1180" s="46"/>
      <c r="V1180" s="46"/>
      <c r="W1180" s="46"/>
      <c r="X1180" s="46"/>
      <c r="Y1180" s="46"/>
      <c r="Z1180" s="46"/>
      <c r="AA1180" s="46"/>
    </row>
    <row r="1181">
      <c r="A1181" s="46"/>
      <c r="B1181" s="46"/>
      <c r="C1181" s="46"/>
      <c r="D1181" s="46"/>
      <c r="E1181" s="46"/>
      <c r="F1181" s="46"/>
      <c r="G1181" s="46"/>
      <c r="H1181" s="46"/>
      <c r="I1181" s="46"/>
      <c r="J1181" s="46"/>
      <c r="K1181" s="46"/>
      <c r="L1181" s="46"/>
      <c r="M1181" s="46"/>
      <c r="N1181" s="46"/>
      <c r="O1181" s="46"/>
      <c r="P1181" s="46"/>
      <c r="Q1181" s="46"/>
      <c r="R1181" s="46"/>
      <c r="S1181" s="46"/>
      <c r="T1181" s="46"/>
      <c r="U1181" s="46"/>
      <c r="V1181" s="46"/>
      <c r="W1181" s="46"/>
      <c r="X1181" s="46"/>
      <c r="Y1181" s="46"/>
      <c r="Z1181" s="46"/>
      <c r="AA1181" s="46"/>
    </row>
    <row r="1182">
      <c r="A1182" s="46"/>
      <c r="B1182" s="46"/>
      <c r="C1182" s="46"/>
      <c r="D1182" s="46"/>
      <c r="E1182" s="46"/>
      <c r="F1182" s="46"/>
      <c r="G1182" s="46"/>
      <c r="H1182" s="46"/>
      <c r="I1182" s="46"/>
      <c r="J1182" s="46"/>
      <c r="K1182" s="46"/>
      <c r="L1182" s="46"/>
      <c r="M1182" s="46"/>
      <c r="N1182" s="46"/>
      <c r="O1182" s="46"/>
      <c r="P1182" s="46"/>
      <c r="Q1182" s="46"/>
      <c r="R1182" s="46"/>
      <c r="S1182" s="46"/>
      <c r="T1182" s="46"/>
      <c r="U1182" s="46"/>
      <c r="V1182" s="46"/>
      <c r="W1182" s="46"/>
      <c r="X1182" s="46"/>
      <c r="Y1182" s="46"/>
      <c r="Z1182" s="46"/>
      <c r="AA1182" s="46"/>
    </row>
    <row r="1183">
      <c r="A1183" s="46"/>
      <c r="B1183" s="46"/>
      <c r="C1183" s="46"/>
      <c r="D1183" s="46"/>
      <c r="E1183" s="46"/>
      <c r="F1183" s="46"/>
      <c r="G1183" s="46"/>
      <c r="H1183" s="46"/>
      <c r="I1183" s="46"/>
      <c r="J1183" s="46"/>
      <c r="K1183" s="46"/>
      <c r="L1183" s="46"/>
      <c r="M1183" s="46"/>
      <c r="N1183" s="46"/>
      <c r="O1183" s="46"/>
      <c r="P1183" s="46"/>
      <c r="Q1183" s="46"/>
      <c r="R1183" s="46"/>
      <c r="S1183" s="46"/>
      <c r="T1183" s="46"/>
      <c r="U1183" s="46"/>
      <c r="V1183" s="46"/>
      <c r="W1183" s="46"/>
      <c r="X1183" s="46"/>
      <c r="Y1183" s="46"/>
      <c r="Z1183" s="46"/>
      <c r="AA1183" s="46"/>
    </row>
    <row r="1184">
      <c r="A1184" s="46"/>
      <c r="B1184" s="46"/>
      <c r="C1184" s="46"/>
      <c r="D1184" s="46"/>
      <c r="E1184" s="46"/>
      <c r="F1184" s="46"/>
      <c r="G1184" s="46"/>
      <c r="H1184" s="46"/>
      <c r="I1184" s="46"/>
      <c r="J1184" s="46"/>
      <c r="K1184" s="46"/>
      <c r="L1184" s="46"/>
      <c r="M1184" s="46"/>
      <c r="N1184" s="46"/>
      <c r="O1184" s="46"/>
      <c r="P1184" s="46"/>
      <c r="Q1184" s="46"/>
      <c r="R1184" s="46"/>
      <c r="S1184" s="46"/>
      <c r="T1184" s="46"/>
      <c r="U1184" s="46"/>
      <c r="V1184" s="46"/>
      <c r="W1184" s="46"/>
      <c r="X1184" s="46"/>
      <c r="Y1184" s="46"/>
      <c r="Z1184" s="46"/>
      <c r="AA1184" s="46"/>
    </row>
    <row r="1185">
      <c r="A1185" s="46"/>
      <c r="B1185" s="46"/>
      <c r="C1185" s="46"/>
      <c r="D1185" s="46"/>
      <c r="E1185" s="46"/>
      <c r="F1185" s="46"/>
      <c r="G1185" s="46"/>
      <c r="H1185" s="46"/>
      <c r="I1185" s="46"/>
      <c r="J1185" s="46"/>
      <c r="K1185" s="46"/>
      <c r="L1185" s="46"/>
      <c r="M1185" s="46"/>
      <c r="N1185" s="46"/>
      <c r="O1185" s="46"/>
      <c r="P1185" s="46"/>
      <c r="Q1185" s="46"/>
      <c r="R1185" s="46"/>
      <c r="S1185" s="46"/>
      <c r="T1185" s="46"/>
      <c r="U1185" s="46"/>
      <c r="V1185" s="46"/>
      <c r="W1185" s="46"/>
      <c r="X1185" s="46"/>
      <c r="Y1185" s="46"/>
      <c r="Z1185" s="46"/>
      <c r="AA1185" s="46"/>
    </row>
    <row r="1186">
      <c r="A1186" s="46"/>
      <c r="B1186" s="46"/>
      <c r="C1186" s="46"/>
      <c r="D1186" s="46"/>
      <c r="E1186" s="46"/>
      <c r="F1186" s="46"/>
      <c r="G1186" s="46"/>
      <c r="H1186" s="46"/>
      <c r="I1186" s="46"/>
      <c r="J1186" s="46"/>
      <c r="K1186" s="46"/>
      <c r="L1186" s="46"/>
      <c r="M1186" s="46"/>
      <c r="N1186" s="46"/>
      <c r="O1186" s="46"/>
      <c r="P1186" s="46"/>
      <c r="Q1186" s="46"/>
      <c r="R1186" s="46"/>
      <c r="S1186" s="46"/>
      <c r="T1186" s="46"/>
      <c r="U1186" s="46"/>
      <c r="V1186" s="46"/>
      <c r="W1186" s="46"/>
      <c r="X1186" s="46"/>
      <c r="Y1186" s="46"/>
      <c r="Z1186" s="46"/>
      <c r="AA1186" s="46"/>
    </row>
    <row r="1187">
      <c r="A1187" s="46"/>
      <c r="B1187" s="46"/>
      <c r="C1187" s="46"/>
      <c r="D1187" s="46"/>
      <c r="E1187" s="46"/>
      <c r="F1187" s="46"/>
      <c r="G1187" s="46"/>
      <c r="H1187" s="46"/>
      <c r="I1187" s="46"/>
      <c r="J1187" s="46"/>
      <c r="K1187" s="46"/>
      <c r="L1187" s="46"/>
      <c r="M1187" s="46"/>
      <c r="N1187" s="46"/>
      <c r="O1187" s="46"/>
      <c r="P1187" s="46"/>
      <c r="Q1187" s="46"/>
      <c r="R1187" s="46"/>
      <c r="S1187" s="46"/>
      <c r="T1187" s="46"/>
      <c r="U1187" s="46"/>
      <c r="V1187" s="46"/>
      <c r="W1187" s="46"/>
      <c r="X1187" s="46"/>
      <c r="Y1187" s="46"/>
      <c r="Z1187" s="46"/>
      <c r="AA1187" s="46"/>
    </row>
    <row r="1188">
      <c r="A1188" s="46"/>
      <c r="B1188" s="46"/>
      <c r="C1188" s="46"/>
      <c r="D1188" s="46"/>
      <c r="E1188" s="46"/>
      <c r="F1188" s="46"/>
      <c r="G1188" s="46"/>
      <c r="H1188" s="46"/>
      <c r="I1188" s="46"/>
      <c r="J1188" s="46"/>
      <c r="K1188" s="46"/>
      <c r="L1188" s="46"/>
      <c r="M1188" s="46"/>
      <c r="N1188" s="46"/>
      <c r="O1188" s="46"/>
      <c r="P1188" s="46"/>
      <c r="Q1188" s="46"/>
      <c r="R1188" s="46"/>
      <c r="S1188" s="46"/>
      <c r="T1188" s="46"/>
      <c r="U1188" s="46"/>
      <c r="V1188" s="46"/>
      <c r="W1188" s="46"/>
      <c r="X1188" s="46"/>
      <c r="Y1188" s="46"/>
      <c r="Z1188" s="46"/>
      <c r="AA1188" s="46"/>
    </row>
    <row r="1189">
      <c r="A1189" s="46"/>
      <c r="B1189" s="46"/>
      <c r="C1189" s="46"/>
      <c r="D1189" s="46"/>
      <c r="E1189" s="46"/>
      <c r="F1189" s="46"/>
      <c r="G1189" s="46"/>
      <c r="H1189" s="46"/>
      <c r="I1189" s="46"/>
      <c r="J1189" s="46"/>
      <c r="K1189" s="46"/>
      <c r="L1189" s="46"/>
      <c r="M1189" s="46"/>
      <c r="N1189" s="46"/>
      <c r="O1189" s="46"/>
      <c r="P1189" s="46"/>
      <c r="Q1189" s="46"/>
      <c r="R1189" s="46"/>
      <c r="S1189" s="46"/>
      <c r="T1189" s="46"/>
      <c r="U1189" s="46"/>
      <c r="V1189" s="46"/>
      <c r="W1189" s="46"/>
      <c r="X1189" s="46"/>
      <c r="Y1189" s="46"/>
      <c r="Z1189" s="46"/>
      <c r="AA1189" s="46"/>
    </row>
    <row r="1190">
      <c r="A1190" s="46"/>
      <c r="B1190" s="46"/>
      <c r="C1190" s="46"/>
      <c r="D1190" s="46"/>
      <c r="E1190" s="46"/>
      <c r="F1190" s="46"/>
      <c r="G1190" s="46"/>
      <c r="H1190" s="46"/>
      <c r="I1190" s="46"/>
      <c r="J1190" s="46"/>
      <c r="K1190" s="46"/>
      <c r="L1190" s="46"/>
      <c r="M1190" s="46"/>
      <c r="N1190" s="46"/>
      <c r="O1190" s="46"/>
      <c r="P1190" s="46"/>
      <c r="Q1190" s="46"/>
      <c r="R1190" s="46"/>
      <c r="S1190" s="46"/>
      <c r="T1190" s="46"/>
      <c r="U1190" s="46"/>
      <c r="V1190" s="46"/>
      <c r="W1190" s="46"/>
      <c r="X1190" s="46"/>
      <c r="Y1190" s="46"/>
      <c r="Z1190" s="46"/>
      <c r="AA1190" s="46"/>
    </row>
    <row r="1191">
      <c r="A1191" s="46"/>
      <c r="B1191" s="46"/>
      <c r="C1191" s="46"/>
      <c r="D1191" s="46"/>
      <c r="E1191" s="46"/>
      <c r="F1191" s="46"/>
      <c r="G1191" s="46"/>
      <c r="H1191" s="46"/>
      <c r="I1191" s="46"/>
      <c r="J1191" s="46"/>
      <c r="K1191" s="46"/>
      <c r="L1191" s="46"/>
      <c r="M1191" s="46"/>
      <c r="N1191" s="46"/>
      <c r="O1191" s="46"/>
      <c r="P1191" s="46"/>
      <c r="Q1191" s="46"/>
      <c r="R1191" s="46"/>
      <c r="S1191" s="46"/>
      <c r="T1191" s="46"/>
      <c r="U1191" s="46"/>
      <c r="V1191" s="46"/>
      <c r="W1191" s="46"/>
      <c r="X1191" s="46"/>
      <c r="Y1191" s="46"/>
      <c r="Z1191" s="46"/>
      <c r="AA1191" s="46"/>
    </row>
    <row r="1192">
      <c r="A1192" s="46"/>
      <c r="B1192" s="46"/>
      <c r="C1192" s="46"/>
      <c r="D1192" s="46"/>
      <c r="E1192" s="46"/>
      <c r="F1192" s="46"/>
      <c r="G1192" s="46"/>
      <c r="H1192" s="46"/>
      <c r="I1192" s="46"/>
      <c r="J1192" s="46"/>
      <c r="K1192" s="46"/>
      <c r="L1192" s="46"/>
      <c r="M1192" s="46"/>
      <c r="N1192" s="46"/>
      <c r="O1192" s="46"/>
      <c r="P1192" s="46"/>
      <c r="Q1192" s="46"/>
      <c r="R1192" s="46"/>
      <c r="S1192" s="46"/>
      <c r="T1192" s="46"/>
      <c r="U1192" s="46"/>
      <c r="V1192" s="46"/>
      <c r="W1192" s="46"/>
      <c r="X1192" s="46"/>
      <c r="Y1192" s="46"/>
      <c r="Z1192" s="46"/>
      <c r="AA1192" s="46"/>
    </row>
    <row r="1193">
      <c r="A1193" s="46"/>
      <c r="B1193" s="46"/>
      <c r="C1193" s="46"/>
      <c r="D1193" s="46"/>
      <c r="E1193" s="46"/>
      <c r="F1193" s="46"/>
      <c r="G1193" s="46"/>
      <c r="H1193" s="46"/>
      <c r="I1193" s="46"/>
      <c r="J1193" s="46"/>
      <c r="K1193" s="46"/>
      <c r="L1193" s="46"/>
      <c r="M1193" s="46"/>
      <c r="N1193" s="46"/>
      <c r="O1193" s="46"/>
      <c r="P1193" s="46"/>
      <c r="Q1193" s="46"/>
      <c r="R1193" s="46"/>
      <c r="S1193" s="46"/>
      <c r="T1193" s="46"/>
      <c r="U1193" s="46"/>
      <c r="V1193" s="46"/>
      <c r="W1193" s="46"/>
      <c r="X1193" s="46"/>
      <c r="Y1193" s="46"/>
      <c r="Z1193" s="46"/>
      <c r="AA1193" s="46"/>
    </row>
    <row r="1194">
      <c r="A1194" s="46"/>
      <c r="B1194" s="46"/>
      <c r="C1194" s="46"/>
      <c r="D1194" s="46"/>
      <c r="E1194" s="46"/>
      <c r="F1194" s="46"/>
      <c r="G1194" s="46"/>
      <c r="H1194" s="46"/>
      <c r="I1194" s="46"/>
      <c r="J1194" s="46"/>
      <c r="K1194" s="46"/>
      <c r="L1194" s="46"/>
      <c r="M1194" s="46"/>
      <c r="N1194" s="46"/>
      <c r="O1194" s="46"/>
      <c r="P1194" s="46"/>
      <c r="Q1194" s="46"/>
      <c r="R1194" s="46"/>
      <c r="S1194" s="46"/>
      <c r="T1194" s="46"/>
      <c r="U1194" s="46"/>
      <c r="V1194" s="46"/>
      <c r="W1194" s="46"/>
      <c r="X1194" s="46"/>
      <c r="Y1194" s="46"/>
      <c r="Z1194" s="46"/>
      <c r="AA1194" s="46"/>
    </row>
    <row r="1195">
      <c r="A1195" s="46"/>
      <c r="B1195" s="46"/>
      <c r="C1195" s="46"/>
      <c r="D1195" s="46"/>
      <c r="E1195" s="46"/>
      <c r="F1195" s="46"/>
      <c r="G1195" s="46"/>
      <c r="H1195" s="46"/>
      <c r="I1195" s="46"/>
      <c r="J1195" s="46"/>
      <c r="K1195" s="46"/>
      <c r="L1195" s="46"/>
      <c r="M1195" s="46"/>
      <c r="N1195" s="46"/>
      <c r="O1195" s="46"/>
      <c r="P1195" s="46"/>
      <c r="Q1195" s="46"/>
      <c r="R1195" s="46"/>
      <c r="S1195" s="46"/>
      <c r="T1195" s="46"/>
      <c r="U1195" s="46"/>
      <c r="V1195" s="46"/>
      <c r="W1195" s="46"/>
      <c r="X1195" s="46"/>
      <c r="Y1195" s="46"/>
      <c r="Z1195" s="46"/>
      <c r="AA1195" s="46"/>
    </row>
    <row r="1196">
      <c r="A1196" s="46"/>
      <c r="B1196" s="46"/>
      <c r="C1196" s="46"/>
      <c r="D1196" s="46"/>
      <c r="E1196" s="46"/>
      <c r="F1196" s="46"/>
      <c r="G1196" s="46"/>
      <c r="H1196" s="46"/>
      <c r="I1196" s="46"/>
      <c r="J1196" s="46"/>
      <c r="K1196" s="46"/>
      <c r="L1196" s="46"/>
      <c r="M1196" s="46"/>
      <c r="N1196" s="46"/>
      <c r="O1196" s="46"/>
      <c r="P1196" s="46"/>
      <c r="Q1196" s="46"/>
      <c r="R1196" s="46"/>
      <c r="S1196" s="46"/>
      <c r="T1196" s="46"/>
      <c r="U1196" s="46"/>
      <c r="V1196" s="46"/>
      <c r="W1196" s="46"/>
      <c r="X1196" s="46"/>
      <c r="Y1196" s="46"/>
      <c r="Z1196" s="46"/>
      <c r="AA1196" s="46"/>
    </row>
    <row r="1197">
      <c r="A1197" s="46"/>
      <c r="B1197" s="46"/>
      <c r="C1197" s="46"/>
      <c r="D1197" s="46"/>
      <c r="E1197" s="46"/>
      <c r="F1197" s="46"/>
      <c r="G1197" s="46"/>
      <c r="H1197" s="46"/>
      <c r="I1197" s="46"/>
      <c r="J1197" s="46"/>
      <c r="K1197" s="46"/>
      <c r="L1197" s="46"/>
      <c r="M1197" s="46"/>
      <c r="N1197" s="46"/>
      <c r="O1197" s="46"/>
      <c r="P1197" s="46"/>
      <c r="Q1197" s="46"/>
      <c r="R1197" s="46"/>
      <c r="S1197" s="46"/>
      <c r="T1197" s="46"/>
      <c r="U1197" s="46"/>
      <c r="V1197" s="46"/>
      <c r="W1197" s="46"/>
      <c r="X1197" s="46"/>
      <c r="Y1197" s="46"/>
      <c r="Z1197" s="46"/>
      <c r="AA1197" s="46"/>
    </row>
    <row r="1198">
      <c r="A1198" s="46"/>
      <c r="B1198" s="46"/>
      <c r="C1198" s="46"/>
      <c r="D1198" s="46"/>
      <c r="E1198" s="46"/>
      <c r="F1198" s="46"/>
      <c r="G1198" s="46"/>
      <c r="H1198" s="46"/>
      <c r="I1198" s="46"/>
      <c r="J1198" s="46"/>
      <c r="K1198" s="46"/>
      <c r="L1198" s="46"/>
      <c r="M1198" s="46"/>
      <c r="N1198" s="46"/>
      <c r="O1198" s="46"/>
      <c r="P1198" s="46"/>
      <c r="Q1198" s="46"/>
      <c r="R1198" s="46"/>
      <c r="S1198" s="46"/>
      <c r="T1198" s="46"/>
      <c r="U1198" s="46"/>
      <c r="V1198" s="46"/>
      <c r="W1198" s="46"/>
      <c r="X1198" s="46"/>
      <c r="Y1198" s="46"/>
      <c r="Z1198" s="46"/>
      <c r="AA1198" s="46"/>
    </row>
    <row r="1199">
      <c r="A1199" s="46"/>
      <c r="B1199" s="46"/>
      <c r="C1199" s="46"/>
      <c r="D1199" s="46"/>
      <c r="E1199" s="46"/>
      <c r="F1199" s="46"/>
      <c r="G1199" s="46"/>
      <c r="H1199" s="46"/>
      <c r="I1199" s="46"/>
      <c r="J1199" s="46"/>
      <c r="K1199" s="46"/>
      <c r="L1199" s="46"/>
      <c r="M1199" s="46"/>
      <c r="N1199" s="46"/>
      <c r="O1199" s="46"/>
      <c r="P1199" s="46"/>
      <c r="Q1199" s="46"/>
      <c r="R1199" s="46"/>
      <c r="S1199" s="46"/>
      <c r="T1199" s="46"/>
      <c r="U1199" s="46"/>
      <c r="V1199" s="46"/>
      <c r="W1199" s="46"/>
      <c r="X1199" s="46"/>
      <c r="Y1199" s="46"/>
      <c r="Z1199" s="46"/>
      <c r="AA1199" s="46"/>
    </row>
    <row r="1200">
      <c r="A1200" s="46"/>
      <c r="B1200" s="46"/>
      <c r="C1200" s="46"/>
      <c r="D1200" s="46"/>
      <c r="E1200" s="46"/>
      <c r="F1200" s="46"/>
      <c r="G1200" s="46"/>
      <c r="H1200" s="46"/>
      <c r="I1200" s="46"/>
      <c r="J1200" s="46"/>
      <c r="K1200" s="46"/>
      <c r="L1200" s="46"/>
      <c r="M1200" s="46"/>
      <c r="N1200" s="46"/>
      <c r="O1200" s="46"/>
      <c r="P1200" s="46"/>
      <c r="Q1200" s="46"/>
      <c r="R1200" s="46"/>
      <c r="S1200" s="46"/>
      <c r="T1200" s="46"/>
      <c r="U1200" s="46"/>
      <c r="V1200" s="46"/>
      <c r="W1200" s="46"/>
      <c r="X1200" s="46"/>
      <c r="Y1200" s="46"/>
      <c r="Z1200" s="46"/>
      <c r="AA1200" s="46"/>
    </row>
    <row r="1201">
      <c r="A1201" s="46"/>
      <c r="B1201" s="46"/>
      <c r="C1201" s="46"/>
      <c r="D1201" s="46"/>
      <c r="E1201" s="46"/>
      <c r="F1201" s="46"/>
      <c r="G1201" s="46"/>
      <c r="H1201" s="46"/>
      <c r="I1201" s="46"/>
      <c r="J1201" s="46"/>
      <c r="K1201" s="46"/>
      <c r="L1201" s="46"/>
      <c r="M1201" s="46"/>
      <c r="N1201" s="46"/>
      <c r="O1201" s="46"/>
      <c r="P1201" s="46"/>
      <c r="Q1201" s="46"/>
      <c r="R1201" s="46"/>
      <c r="S1201" s="46"/>
      <c r="T1201" s="46"/>
      <c r="U1201" s="46"/>
      <c r="V1201" s="46"/>
      <c r="W1201" s="46"/>
      <c r="X1201" s="46"/>
      <c r="Y1201" s="46"/>
      <c r="Z1201" s="46"/>
      <c r="AA1201" s="46"/>
    </row>
    <row r="1202">
      <c r="A1202" s="46"/>
      <c r="B1202" s="46"/>
      <c r="C1202" s="46"/>
      <c r="D1202" s="46"/>
      <c r="E1202" s="46"/>
      <c r="F1202" s="46"/>
      <c r="G1202" s="46"/>
      <c r="H1202" s="46"/>
      <c r="I1202" s="46"/>
      <c r="J1202" s="46"/>
      <c r="K1202" s="46"/>
      <c r="L1202" s="46"/>
      <c r="M1202" s="46"/>
      <c r="N1202" s="46"/>
      <c r="O1202" s="46"/>
      <c r="P1202" s="46"/>
      <c r="Q1202" s="46"/>
      <c r="R1202" s="46"/>
      <c r="S1202" s="46"/>
      <c r="T1202" s="46"/>
      <c r="U1202" s="46"/>
      <c r="V1202" s="46"/>
      <c r="W1202" s="46"/>
      <c r="X1202" s="46"/>
      <c r="Y1202" s="46"/>
      <c r="Z1202" s="46"/>
      <c r="AA1202" s="46"/>
    </row>
    <row r="1203">
      <c r="A1203" s="46"/>
      <c r="B1203" s="46"/>
      <c r="C1203" s="46"/>
      <c r="D1203" s="46"/>
      <c r="E1203" s="46"/>
      <c r="F1203" s="46"/>
      <c r="G1203" s="46"/>
      <c r="H1203" s="46"/>
      <c r="I1203" s="46"/>
      <c r="J1203" s="46"/>
      <c r="K1203" s="46"/>
      <c r="L1203" s="46"/>
      <c r="M1203" s="46"/>
      <c r="N1203" s="46"/>
      <c r="O1203" s="46"/>
      <c r="P1203" s="46"/>
      <c r="Q1203" s="46"/>
      <c r="R1203" s="46"/>
      <c r="S1203" s="46"/>
      <c r="T1203" s="46"/>
      <c r="U1203" s="46"/>
      <c r="V1203" s="46"/>
      <c r="W1203" s="46"/>
      <c r="X1203" s="46"/>
      <c r="Y1203" s="46"/>
      <c r="Z1203" s="46"/>
      <c r="AA1203" s="46"/>
    </row>
    <row r="1204">
      <c r="A1204" s="46"/>
      <c r="B1204" s="46"/>
      <c r="C1204" s="46"/>
      <c r="D1204" s="46"/>
      <c r="E1204" s="46"/>
      <c r="F1204" s="46"/>
      <c r="G1204" s="46"/>
      <c r="H1204" s="46"/>
      <c r="I1204" s="46"/>
      <c r="J1204" s="46"/>
      <c r="K1204" s="46"/>
      <c r="L1204" s="46"/>
      <c r="M1204" s="46"/>
      <c r="N1204" s="46"/>
      <c r="O1204" s="46"/>
      <c r="P1204" s="46"/>
      <c r="Q1204" s="46"/>
      <c r="R1204" s="46"/>
      <c r="S1204" s="46"/>
      <c r="T1204" s="46"/>
      <c r="U1204" s="46"/>
      <c r="V1204" s="46"/>
      <c r="W1204" s="46"/>
      <c r="X1204" s="46"/>
      <c r="Y1204" s="46"/>
      <c r="Z1204" s="46"/>
      <c r="AA1204" s="46"/>
    </row>
    <row r="1205">
      <c r="A1205" s="46"/>
      <c r="B1205" s="46"/>
      <c r="C1205" s="46"/>
      <c r="D1205" s="46"/>
      <c r="E1205" s="46"/>
      <c r="F1205" s="46"/>
      <c r="G1205" s="46"/>
      <c r="H1205" s="46"/>
      <c r="I1205" s="46"/>
      <c r="J1205" s="46"/>
      <c r="K1205" s="46"/>
      <c r="L1205" s="46"/>
      <c r="M1205" s="46"/>
      <c r="N1205" s="46"/>
      <c r="O1205" s="46"/>
      <c r="P1205" s="46"/>
      <c r="Q1205" s="46"/>
      <c r="R1205" s="46"/>
      <c r="S1205" s="46"/>
      <c r="T1205" s="46"/>
      <c r="U1205" s="46"/>
      <c r="V1205" s="46"/>
      <c r="W1205" s="46"/>
      <c r="X1205" s="46"/>
      <c r="Y1205" s="46"/>
      <c r="Z1205" s="46"/>
      <c r="AA1205" s="46"/>
    </row>
    <row r="1206">
      <c r="A1206" s="46"/>
      <c r="B1206" s="46"/>
      <c r="C1206" s="46"/>
      <c r="D1206" s="46"/>
      <c r="E1206" s="46"/>
      <c r="F1206" s="46"/>
      <c r="G1206" s="46"/>
      <c r="H1206" s="46"/>
      <c r="I1206" s="46"/>
      <c r="J1206" s="46"/>
      <c r="K1206" s="46"/>
      <c r="L1206" s="46"/>
      <c r="M1206" s="46"/>
      <c r="N1206" s="46"/>
      <c r="O1206" s="46"/>
      <c r="P1206" s="46"/>
      <c r="Q1206" s="46"/>
      <c r="R1206" s="46"/>
      <c r="S1206" s="46"/>
      <c r="T1206" s="46"/>
      <c r="U1206" s="46"/>
      <c r="V1206" s="46"/>
      <c r="W1206" s="46"/>
      <c r="X1206" s="46"/>
      <c r="Y1206" s="46"/>
      <c r="Z1206" s="46"/>
      <c r="AA1206" s="46"/>
    </row>
    <row r="1207">
      <c r="A1207" s="46"/>
      <c r="B1207" s="46"/>
      <c r="C1207" s="46"/>
      <c r="D1207" s="46"/>
      <c r="E1207" s="46"/>
      <c r="F1207" s="46"/>
      <c r="G1207" s="46"/>
      <c r="H1207" s="46"/>
      <c r="I1207" s="46"/>
      <c r="J1207" s="46"/>
      <c r="K1207" s="46"/>
      <c r="L1207" s="46"/>
      <c r="M1207" s="46"/>
      <c r="N1207" s="46"/>
      <c r="O1207" s="46"/>
      <c r="P1207" s="46"/>
      <c r="Q1207" s="46"/>
      <c r="R1207" s="46"/>
      <c r="S1207" s="46"/>
      <c r="T1207" s="46"/>
      <c r="U1207" s="46"/>
      <c r="V1207" s="46"/>
      <c r="W1207" s="46"/>
      <c r="X1207" s="46"/>
      <c r="Y1207" s="46"/>
      <c r="Z1207" s="46"/>
      <c r="AA1207" s="46"/>
    </row>
    <row r="1208">
      <c r="A1208" s="46"/>
      <c r="B1208" s="46"/>
      <c r="C1208" s="46"/>
      <c r="D1208" s="46"/>
      <c r="E1208" s="46"/>
      <c r="F1208" s="46"/>
      <c r="G1208" s="46"/>
      <c r="H1208" s="46"/>
      <c r="I1208" s="46"/>
      <c r="J1208" s="46"/>
      <c r="K1208" s="46"/>
      <c r="L1208" s="46"/>
      <c r="M1208" s="46"/>
      <c r="N1208" s="46"/>
      <c r="O1208" s="46"/>
      <c r="P1208" s="46"/>
      <c r="Q1208" s="46"/>
      <c r="R1208" s="46"/>
      <c r="S1208" s="46"/>
      <c r="T1208" s="46"/>
      <c r="U1208" s="46"/>
      <c r="V1208" s="46"/>
      <c r="W1208" s="46"/>
      <c r="X1208" s="46"/>
      <c r="Y1208" s="46"/>
      <c r="Z1208" s="46"/>
      <c r="AA1208" s="46"/>
    </row>
    <row r="1209">
      <c r="A1209" s="46"/>
      <c r="B1209" s="46"/>
      <c r="C1209" s="46"/>
      <c r="D1209" s="46"/>
      <c r="E1209" s="46"/>
      <c r="F1209" s="46"/>
      <c r="G1209" s="46"/>
      <c r="H1209" s="46"/>
      <c r="I1209" s="46"/>
      <c r="J1209" s="46"/>
      <c r="K1209" s="46"/>
      <c r="L1209" s="46"/>
      <c r="M1209" s="46"/>
      <c r="N1209" s="46"/>
      <c r="O1209" s="46"/>
      <c r="P1209" s="46"/>
      <c r="Q1209" s="46"/>
      <c r="R1209" s="46"/>
      <c r="S1209" s="46"/>
      <c r="T1209" s="46"/>
      <c r="U1209" s="46"/>
      <c r="V1209" s="46"/>
      <c r="W1209" s="46"/>
      <c r="X1209" s="46"/>
      <c r="Y1209" s="46"/>
      <c r="Z1209" s="46"/>
      <c r="AA1209" s="46"/>
    </row>
    <row r="1210">
      <c r="A1210" s="46"/>
      <c r="B1210" s="46"/>
      <c r="C1210" s="46"/>
      <c r="D1210" s="46"/>
      <c r="E1210" s="46"/>
      <c r="F1210" s="46"/>
      <c r="G1210" s="46"/>
      <c r="H1210" s="46"/>
      <c r="I1210" s="46"/>
      <c r="J1210" s="46"/>
      <c r="K1210" s="46"/>
      <c r="L1210" s="46"/>
      <c r="M1210" s="46"/>
      <c r="N1210" s="46"/>
      <c r="O1210" s="46"/>
      <c r="P1210" s="46"/>
      <c r="Q1210" s="46"/>
      <c r="R1210" s="46"/>
      <c r="S1210" s="46"/>
      <c r="T1210" s="46"/>
      <c r="U1210" s="46"/>
      <c r="V1210" s="46"/>
      <c r="W1210" s="46"/>
      <c r="X1210" s="46"/>
      <c r="Y1210" s="46"/>
      <c r="Z1210" s="46"/>
      <c r="AA1210" s="46"/>
    </row>
    <row r="1211">
      <c r="A1211" s="46"/>
      <c r="B1211" s="46"/>
      <c r="C1211" s="46"/>
      <c r="D1211" s="46"/>
      <c r="E1211" s="46"/>
      <c r="F1211" s="46"/>
      <c r="G1211" s="46"/>
      <c r="H1211" s="46"/>
      <c r="I1211" s="46"/>
      <c r="J1211" s="46"/>
      <c r="K1211" s="46"/>
      <c r="L1211" s="46"/>
      <c r="M1211" s="46"/>
      <c r="N1211" s="46"/>
      <c r="O1211" s="46"/>
      <c r="P1211" s="46"/>
      <c r="Q1211" s="46"/>
      <c r="R1211" s="46"/>
      <c r="S1211" s="46"/>
      <c r="T1211" s="46"/>
      <c r="U1211" s="46"/>
      <c r="V1211" s="46"/>
      <c r="W1211" s="46"/>
      <c r="X1211" s="46"/>
      <c r="Y1211" s="46"/>
      <c r="Z1211" s="46"/>
      <c r="AA1211" s="46"/>
    </row>
    <row r="1212">
      <c r="A1212" s="46"/>
      <c r="B1212" s="46"/>
      <c r="C1212" s="46"/>
      <c r="D1212" s="46"/>
      <c r="E1212" s="46"/>
      <c r="F1212" s="46"/>
      <c r="G1212" s="46"/>
      <c r="H1212" s="46"/>
      <c r="I1212" s="46"/>
      <c r="J1212" s="46"/>
      <c r="K1212" s="46"/>
      <c r="L1212" s="46"/>
      <c r="M1212" s="46"/>
      <c r="N1212" s="46"/>
      <c r="O1212" s="46"/>
      <c r="P1212" s="46"/>
      <c r="Q1212" s="46"/>
      <c r="R1212" s="46"/>
      <c r="S1212" s="46"/>
      <c r="T1212" s="46"/>
      <c r="U1212" s="46"/>
      <c r="V1212" s="46"/>
      <c r="W1212" s="46"/>
      <c r="X1212" s="46"/>
      <c r="Y1212" s="46"/>
      <c r="Z1212" s="46"/>
      <c r="AA1212" s="46"/>
    </row>
    <row r="1213">
      <c r="A1213" s="46"/>
      <c r="B1213" s="46"/>
      <c r="C1213" s="46"/>
      <c r="D1213" s="46"/>
      <c r="E1213" s="46"/>
      <c r="F1213" s="46"/>
      <c r="G1213" s="46"/>
      <c r="H1213" s="46"/>
      <c r="I1213" s="46"/>
      <c r="J1213" s="46"/>
      <c r="K1213" s="46"/>
      <c r="L1213" s="46"/>
      <c r="M1213" s="46"/>
      <c r="N1213" s="46"/>
      <c r="O1213" s="46"/>
      <c r="P1213" s="46"/>
      <c r="Q1213" s="46"/>
      <c r="R1213" s="46"/>
      <c r="S1213" s="46"/>
      <c r="T1213" s="46"/>
      <c r="U1213" s="46"/>
      <c r="V1213" s="46"/>
      <c r="W1213" s="46"/>
      <c r="X1213" s="46"/>
      <c r="Y1213" s="46"/>
      <c r="Z1213" s="46"/>
      <c r="AA1213" s="46"/>
    </row>
    <row r="1214">
      <c r="A1214" s="46"/>
      <c r="B1214" s="46"/>
      <c r="C1214" s="46"/>
      <c r="D1214" s="46"/>
      <c r="E1214" s="46"/>
      <c r="F1214" s="46"/>
      <c r="G1214" s="46"/>
      <c r="H1214" s="46"/>
      <c r="I1214" s="46"/>
      <c r="J1214" s="46"/>
      <c r="K1214" s="46"/>
      <c r="L1214" s="46"/>
      <c r="M1214" s="46"/>
      <c r="N1214" s="46"/>
      <c r="O1214" s="46"/>
      <c r="P1214" s="46"/>
      <c r="Q1214" s="46"/>
      <c r="R1214" s="46"/>
      <c r="S1214" s="46"/>
      <c r="T1214" s="46"/>
      <c r="U1214" s="46"/>
      <c r="V1214" s="46"/>
      <c r="W1214" s="46"/>
      <c r="X1214" s="46"/>
      <c r="Y1214" s="46"/>
      <c r="Z1214" s="46"/>
      <c r="AA1214" s="46"/>
    </row>
    <row r="1215">
      <c r="A1215" s="46"/>
      <c r="B1215" s="46"/>
      <c r="C1215" s="46"/>
      <c r="D1215" s="46"/>
      <c r="E1215" s="46"/>
      <c r="F1215" s="46"/>
      <c r="G1215" s="46"/>
      <c r="H1215" s="46"/>
      <c r="I1215" s="46"/>
      <c r="J1215" s="46"/>
      <c r="K1215" s="46"/>
      <c r="L1215" s="46"/>
      <c r="M1215" s="46"/>
      <c r="N1215" s="46"/>
      <c r="O1215" s="46"/>
      <c r="P1215" s="46"/>
      <c r="Q1215" s="46"/>
      <c r="R1215" s="46"/>
      <c r="S1215" s="46"/>
      <c r="T1215" s="46"/>
      <c r="U1215" s="46"/>
      <c r="V1215" s="46"/>
      <c r="W1215" s="46"/>
      <c r="X1215" s="46"/>
      <c r="Y1215" s="46"/>
      <c r="Z1215" s="46"/>
      <c r="AA1215" s="46"/>
    </row>
    <row r="1216">
      <c r="A1216" s="46"/>
      <c r="B1216" s="46"/>
      <c r="C1216" s="46"/>
      <c r="D1216" s="46"/>
      <c r="E1216" s="46"/>
      <c r="F1216" s="46"/>
      <c r="G1216" s="46"/>
      <c r="H1216" s="46"/>
      <c r="I1216" s="46"/>
      <c r="J1216" s="46"/>
      <c r="K1216" s="46"/>
      <c r="L1216" s="46"/>
      <c r="M1216" s="46"/>
      <c r="N1216" s="46"/>
      <c r="O1216" s="46"/>
      <c r="P1216" s="46"/>
      <c r="Q1216" s="46"/>
      <c r="R1216" s="46"/>
      <c r="S1216" s="46"/>
      <c r="T1216" s="46"/>
      <c r="U1216" s="46"/>
      <c r="V1216" s="46"/>
      <c r="W1216" s="46"/>
      <c r="X1216" s="46"/>
      <c r="Y1216" s="46"/>
      <c r="Z1216" s="46"/>
      <c r="AA1216" s="46"/>
    </row>
    <row r="1217">
      <c r="A1217" s="46"/>
      <c r="B1217" s="46"/>
      <c r="C1217" s="46"/>
      <c r="D1217" s="46"/>
      <c r="E1217" s="46"/>
      <c r="F1217" s="46"/>
      <c r="G1217" s="46"/>
      <c r="H1217" s="46"/>
      <c r="I1217" s="46"/>
      <c r="J1217" s="46"/>
      <c r="K1217" s="46"/>
      <c r="L1217" s="46"/>
      <c r="M1217" s="46"/>
      <c r="N1217" s="46"/>
      <c r="O1217" s="46"/>
      <c r="P1217" s="46"/>
      <c r="Q1217" s="46"/>
      <c r="R1217" s="46"/>
      <c r="S1217" s="46"/>
      <c r="T1217" s="46"/>
      <c r="U1217" s="46"/>
      <c r="V1217" s="46"/>
      <c r="W1217" s="46"/>
      <c r="X1217" s="46"/>
      <c r="Y1217" s="46"/>
      <c r="Z1217" s="46"/>
      <c r="AA1217" s="46"/>
    </row>
    <row r="1218">
      <c r="A1218" s="46"/>
      <c r="B1218" s="46"/>
      <c r="C1218" s="46"/>
      <c r="D1218" s="46"/>
      <c r="E1218" s="46"/>
      <c r="F1218" s="46"/>
      <c r="G1218" s="46"/>
      <c r="H1218" s="46"/>
      <c r="I1218" s="46"/>
      <c r="J1218" s="46"/>
      <c r="K1218" s="46"/>
      <c r="L1218" s="46"/>
      <c r="M1218" s="46"/>
      <c r="N1218" s="46"/>
      <c r="O1218" s="46"/>
      <c r="P1218" s="46"/>
      <c r="Q1218" s="46"/>
      <c r="R1218" s="46"/>
      <c r="S1218" s="46"/>
      <c r="T1218" s="46"/>
      <c r="U1218" s="46"/>
      <c r="V1218" s="46"/>
      <c r="W1218" s="46"/>
      <c r="X1218" s="46"/>
      <c r="Y1218" s="46"/>
      <c r="Z1218" s="46"/>
      <c r="AA1218" s="46"/>
    </row>
    <row r="1219">
      <c r="A1219" s="46"/>
      <c r="B1219" s="46"/>
      <c r="C1219" s="46"/>
      <c r="D1219" s="46"/>
      <c r="E1219" s="46"/>
      <c r="F1219" s="46"/>
      <c r="G1219" s="46"/>
      <c r="H1219" s="46"/>
      <c r="I1219" s="46"/>
      <c r="J1219" s="46"/>
      <c r="K1219" s="46"/>
      <c r="L1219" s="46"/>
      <c r="M1219" s="46"/>
      <c r="N1219" s="46"/>
      <c r="O1219" s="46"/>
      <c r="P1219" s="46"/>
      <c r="Q1219" s="46"/>
      <c r="R1219" s="46"/>
      <c r="S1219" s="46"/>
      <c r="T1219" s="46"/>
      <c r="U1219" s="46"/>
      <c r="V1219" s="46"/>
      <c r="W1219" s="46"/>
      <c r="X1219" s="46"/>
      <c r="Y1219" s="46"/>
      <c r="Z1219" s="46"/>
      <c r="AA1219" s="46"/>
    </row>
    <row r="1220">
      <c r="A1220" s="46"/>
      <c r="B1220" s="46"/>
      <c r="C1220" s="46"/>
      <c r="D1220" s="46"/>
      <c r="E1220" s="46"/>
      <c r="F1220" s="46"/>
      <c r="G1220" s="46"/>
      <c r="H1220" s="46"/>
      <c r="I1220" s="46"/>
      <c r="J1220" s="46"/>
      <c r="K1220" s="46"/>
      <c r="L1220" s="46"/>
      <c r="M1220" s="46"/>
      <c r="N1220" s="46"/>
      <c r="O1220" s="46"/>
      <c r="P1220" s="46"/>
      <c r="Q1220" s="46"/>
      <c r="R1220" s="46"/>
      <c r="S1220" s="46"/>
      <c r="T1220" s="46"/>
      <c r="U1220" s="46"/>
      <c r="V1220" s="46"/>
      <c r="W1220" s="46"/>
      <c r="X1220" s="46"/>
      <c r="Y1220" s="46"/>
      <c r="Z1220" s="46"/>
      <c r="AA1220" s="46"/>
    </row>
    <row r="1221">
      <c r="A1221" s="46"/>
      <c r="B1221" s="46"/>
      <c r="C1221" s="46"/>
      <c r="D1221" s="46"/>
      <c r="E1221" s="46"/>
      <c r="F1221" s="46"/>
      <c r="G1221" s="46"/>
      <c r="H1221" s="46"/>
      <c r="I1221" s="46"/>
      <c r="J1221" s="46"/>
      <c r="K1221" s="46"/>
      <c r="L1221" s="46"/>
      <c r="M1221" s="46"/>
      <c r="N1221" s="46"/>
      <c r="O1221" s="46"/>
      <c r="P1221" s="46"/>
      <c r="Q1221" s="46"/>
      <c r="R1221" s="46"/>
      <c r="S1221" s="46"/>
      <c r="T1221" s="46"/>
      <c r="U1221" s="46"/>
      <c r="V1221" s="46"/>
      <c r="W1221" s="46"/>
      <c r="X1221" s="46"/>
      <c r="Y1221" s="46"/>
      <c r="Z1221" s="46"/>
      <c r="AA1221" s="46"/>
    </row>
    <row r="1222">
      <c r="A1222" s="46"/>
      <c r="B1222" s="46"/>
      <c r="C1222" s="46"/>
      <c r="D1222" s="46"/>
      <c r="E1222" s="46"/>
      <c r="F1222" s="46"/>
      <c r="G1222" s="46"/>
      <c r="H1222" s="46"/>
      <c r="I1222" s="46"/>
      <c r="J1222" s="46"/>
      <c r="K1222" s="46"/>
      <c r="L1222" s="46"/>
      <c r="M1222" s="46"/>
      <c r="N1222" s="46"/>
      <c r="O1222" s="46"/>
      <c r="P1222" s="46"/>
      <c r="Q1222" s="46"/>
      <c r="R1222" s="46"/>
      <c r="S1222" s="46"/>
      <c r="T1222" s="46"/>
      <c r="U1222" s="46"/>
      <c r="V1222" s="46"/>
      <c r="W1222" s="46"/>
      <c r="X1222" s="46"/>
      <c r="Y1222" s="46"/>
      <c r="Z1222" s="46"/>
      <c r="AA1222" s="46"/>
    </row>
    <row r="1223">
      <c r="A1223" s="46"/>
      <c r="B1223" s="46"/>
      <c r="C1223" s="46"/>
      <c r="D1223" s="46"/>
      <c r="E1223" s="46"/>
      <c r="F1223" s="46"/>
      <c r="G1223" s="46"/>
      <c r="H1223" s="46"/>
      <c r="I1223" s="46"/>
      <c r="J1223" s="46"/>
      <c r="K1223" s="46"/>
      <c r="L1223" s="46"/>
      <c r="M1223" s="46"/>
      <c r="N1223" s="46"/>
      <c r="O1223" s="46"/>
      <c r="P1223" s="46"/>
      <c r="Q1223" s="46"/>
      <c r="R1223" s="46"/>
      <c r="S1223" s="46"/>
      <c r="T1223" s="46"/>
      <c r="U1223" s="46"/>
      <c r="V1223" s="46"/>
      <c r="W1223" s="46"/>
      <c r="X1223" s="46"/>
      <c r="Y1223" s="46"/>
      <c r="Z1223" s="46"/>
      <c r="AA1223" s="46"/>
    </row>
    <row r="1224">
      <c r="A1224" s="46"/>
      <c r="B1224" s="46"/>
      <c r="C1224" s="46"/>
      <c r="D1224" s="46"/>
      <c r="E1224" s="46"/>
      <c r="F1224" s="46"/>
      <c r="G1224" s="46"/>
      <c r="H1224" s="46"/>
      <c r="I1224" s="46"/>
      <c r="J1224" s="46"/>
      <c r="K1224" s="46"/>
      <c r="L1224" s="46"/>
      <c r="M1224" s="46"/>
      <c r="N1224" s="46"/>
      <c r="O1224" s="46"/>
      <c r="P1224" s="46"/>
      <c r="Q1224" s="46"/>
      <c r="R1224" s="46"/>
      <c r="S1224" s="46"/>
      <c r="T1224" s="46"/>
      <c r="U1224" s="46"/>
      <c r="V1224" s="46"/>
      <c r="W1224" s="46"/>
      <c r="X1224" s="46"/>
      <c r="Y1224" s="46"/>
      <c r="Z1224" s="46"/>
      <c r="AA1224" s="46"/>
    </row>
    <row r="1225">
      <c r="A1225" s="46"/>
      <c r="B1225" s="46"/>
      <c r="C1225" s="46"/>
      <c r="D1225" s="46"/>
      <c r="E1225" s="46"/>
      <c r="F1225" s="46"/>
      <c r="G1225" s="46"/>
      <c r="H1225" s="46"/>
      <c r="I1225" s="46"/>
      <c r="J1225" s="46"/>
      <c r="K1225" s="46"/>
      <c r="L1225" s="46"/>
      <c r="M1225" s="46"/>
      <c r="N1225" s="46"/>
      <c r="O1225" s="46"/>
      <c r="P1225" s="46"/>
      <c r="Q1225" s="46"/>
      <c r="R1225" s="46"/>
      <c r="S1225" s="46"/>
      <c r="T1225" s="46"/>
      <c r="U1225" s="46"/>
      <c r="V1225" s="46"/>
      <c r="W1225" s="46"/>
      <c r="X1225" s="46"/>
      <c r="Y1225" s="46"/>
      <c r="Z1225" s="46"/>
      <c r="AA1225" s="46"/>
    </row>
    <row r="1226">
      <c r="A1226" s="46"/>
      <c r="B1226" s="46"/>
      <c r="C1226" s="46"/>
      <c r="D1226" s="46"/>
      <c r="E1226" s="46"/>
      <c r="F1226" s="46"/>
      <c r="G1226" s="46"/>
      <c r="H1226" s="46"/>
      <c r="I1226" s="46"/>
      <c r="J1226" s="46"/>
      <c r="K1226" s="46"/>
      <c r="L1226" s="46"/>
      <c r="M1226" s="46"/>
      <c r="N1226" s="46"/>
      <c r="O1226" s="46"/>
      <c r="P1226" s="46"/>
      <c r="Q1226" s="46"/>
      <c r="R1226" s="46"/>
      <c r="S1226" s="46"/>
      <c r="T1226" s="46"/>
      <c r="U1226" s="46"/>
      <c r="V1226" s="46"/>
      <c r="W1226" s="46"/>
      <c r="X1226" s="46"/>
      <c r="Y1226" s="46"/>
      <c r="Z1226" s="46"/>
      <c r="AA1226" s="46"/>
    </row>
    <row r="1227">
      <c r="A1227" s="46"/>
      <c r="B1227" s="46"/>
      <c r="C1227" s="46"/>
      <c r="D1227" s="46"/>
      <c r="E1227" s="46"/>
      <c r="F1227" s="46"/>
      <c r="G1227" s="46"/>
      <c r="H1227" s="46"/>
      <c r="I1227" s="46"/>
      <c r="J1227" s="46"/>
      <c r="K1227" s="46"/>
      <c r="L1227" s="46"/>
      <c r="M1227" s="46"/>
      <c r="N1227" s="46"/>
      <c r="O1227" s="46"/>
      <c r="P1227" s="46"/>
      <c r="Q1227" s="46"/>
      <c r="R1227" s="46"/>
      <c r="S1227" s="46"/>
      <c r="T1227" s="46"/>
      <c r="U1227" s="46"/>
      <c r="V1227" s="46"/>
      <c r="W1227" s="46"/>
      <c r="X1227" s="46"/>
      <c r="Y1227" s="46"/>
      <c r="Z1227" s="46"/>
      <c r="AA1227" s="46"/>
    </row>
    <row r="1228">
      <c r="A1228" s="46"/>
      <c r="B1228" s="46"/>
      <c r="C1228" s="46"/>
      <c r="D1228" s="46"/>
      <c r="E1228" s="46"/>
      <c r="F1228" s="46"/>
      <c r="G1228" s="46"/>
      <c r="H1228" s="46"/>
      <c r="I1228" s="46"/>
      <c r="J1228" s="46"/>
      <c r="K1228" s="46"/>
      <c r="L1228" s="46"/>
      <c r="M1228" s="46"/>
      <c r="N1228" s="46"/>
      <c r="O1228" s="46"/>
      <c r="P1228" s="46"/>
      <c r="Q1228" s="46"/>
      <c r="R1228" s="46"/>
      <c r="S1228" s="46"/>
      <c r="T1228" s="46"/>
      <c r="U1228" s="46"/>
      <c r="V1228" s="46"/>
      <c r="W1228" s="46"/>
      <c r="X1228" s="46"/>
      <c r="Y1228" s="46"/>
      <c r="Z1228" s="46"/>
      <c r="AA1228" s="46"/>
    </row>
    <row r="1229">
      <c r="A1229" s="46"/>
      <c r="B1229" s="46"/>
      <c r="C1229" s="46"/>
      <c r="D1229" s="46"/>
      <c r="E1229" s="46"/>
      <c r="F1229" s="46"/>
      <c r="G1229" s="46"/>
      <c r="H1229" s="46"/>
      <c r="I1229" s="46"/>
      <c r="J1229" s="46"/>
      <c r="K1229" s="46"/>
      <c r="L1229" s="46"/>
      <c r="M1229" s="46"/>
      <c r="N1229" s="46"/>
      <c r="O1229" s="46"/>
      <c r="P1229" s="46"/>
      <c r="Q1229" s="46"/>
      <c r="R1229" s="46"/>
      <c r="S1229" s="46"/>
      <c r="T1229" s="46"/>
      <c r="U1229" s="46"/>
      <c r="V1229" s="46"/>
      <c r="W1229" s="46"/>
      <c r="X1229" s="46"/>
      <c r="Y1229" s="46"/>
      <c r="Z1229" s="46"/>
      <c r="AA1229" s="46"/>
    </row>
    <row r="1230">
      <c r="A1230" s="46"/>
      <c r="B1230" s="46"/>
      <c r="C1230" s="46"/>
      <c r="D1230" s="46"/>
      <c r="E1230" s="46"/>
      <c r="F1230" s="46"/>
      <c r="G1230" s="46"/>
      <c r="H1230" s="46"/>
      <c r="I1230" s="46"/>
      <c r="J1230" s="46"/>
      <c r="K1230" s="46"/>
      <c r="L1230" s="46"/>
      <c r="M1230" s="46"/>
      <c r="N1230" s="46"/>
      <c r="O1230" s="46"/>
      <c r="P1230" s="46"/>
      <c r="Q1230" s="46"/>
      <c r="R1230" s="46"/>
      <c r="S1230" s="46"/>
      <c r="T1230" s="46"/>
      <c r="U1230" s="46"/>
      <c r="V1230" s="46"/>
      <c r="W1230" s="46"/>
      <c r="X1230" s="46"/>
      <c r="Y1230" s="46"/>
      <c r="Z1230" s="46"/>
      <c r="AA1230" s="46"/>
    </row>
    <row r="1231">
      <c r="A1231" s="46"/>
      <c r="B1231" s="46"/>
      <c r="C1231" s="46"/>
      <c r="D1231" s="46"/>
      <c r="E1231" s="46"/>
      <c r="F1231" s="46"/>
      <c r="G1231" s="46"/>
      <c r="H1231" s="46"/>
      <c r="I1231" s="46"/>
      <c r="J1231" s="46"/>
      <c r="K1231" s="46"/>
      <c r="L1231" s="46"/>
      <c r="M1231" s="46"/>
      <c r="N1231" s="46"/>
      <c r="O1231" s="46"/>
      <c r="P1231" s="46"/>
      <c r="Q1231" s="46"/>
      <c r="R1231" s="46"/>
      <c r="S1231" s="46"/>
      <c r="T1231" s="46"/>
      <c r="U1231" s="46"/>
      <c r="V1231" s="46"/>
      <c r="W1231" s="46"/>
      <c r="X1231" s="46"/>
      <c r="Y1231" s="46"/>
      <c r="Z1231" s="46"/>
      <c r="AA1231" s="46"/>
    </row>
    <row r="1232">
      <c r="A1232" s="46"/>
      <c r="B1232" s="46"/>
      <c r="C1232" s="46"/>
      <c r="D1232" s="46"/>
      <c r="E1232" s="46"/>
      <c r="F1232" s="46"/>
      <c r="G1232" s="46"/>
      <c r="H1232" s="46"/>
      <c r="I1232" s="46"/>
      <c r="J1232" s="46"/>
      <c r="K1232" s="46"/>
      <c r="L1232" s="46"/>
      <c r="M1232" s="46"/>
      <c r="N1232" s="46"/>
      <c r="O1232" s="46"/>
      <c r="P1232" s="46"/>
      <c r="Q1232" s="46"/>
      <c r="R1232" s="46"/>
      <c r="S1232" s="46"/>
      <c r="T1232" s="46"/>
      <c r="U1232" s="46"/>
      <c r="V1232" s="46"/>
      <c r="W1232" s="46"/>
      <c r="X1232" s="46"/>
      <c r="Y1232" s="46"/>
      <c r="Z1232" s="46"/>
      <c r="AA1232" s="46"/>
    </row>
    <row r="1233">
      <c r="A1233" s="46"/>
      <c r="B1233" s="46"/>
      <c r="C1233" s="46"/>
      <c r="D1233" s="46"/>
      <c r="E1233" s="46"/>
      <c r="F1233" s="46"/>
      <c r="G1233" s="46"/>
      <c r="H1233" s="46"/>
      <c r="I1233" s="46"/>
      <c r="J1233" s="46"/>
      <c r="K1233" s="46"/>
      <c r="L1233" s="46"/>
      <c r="M1233" s="46"/>
      <c r="N1233" s="46"/>
      <c r="O1233" s="46"/>
      <c r="P1233" s="46"/>
      <c r="Q1233" s="46"/>
      <c r="R1233" s="46"/>
      <c r="S1233" s="46"/>
      <c r="T1233" s="46"/>
      <c r="U1233" s="46"/>
      <c r="V1233" s="46"/>
      <c r="W1233" s="46"/>
      <c r="X1233" s="46"/>
      <c r="Y1233" s="46"/>
      <c r="Z1233" s="46"/>
      <c r="AA1233" s="46"/>
    </row>
    <row r="1234">
      <c r="A1234" s="46"/>
      <c r="B1234" s="46"/>
      <c r="C1234" s="46"/>
      <c r="D1234" s="46"/>
      <c r="E1234" s="46"/>
      <c r="F1234" s="46"/>
      <c r="G1234" s="46"/>
      <c r="H1234" s="46"/>
      <c r="I1234" s="46"/>
      <c r="J1234" s="46"/>
      <c r="K1234" s="46"/>
      <c r="L1234" s="46"/>
      <c r="M1234" s="46"/>
      <c r="N1234" s="46"/>
      <c r="O1234" s="46"/>
      <c r="P1234" s="46"/>
      <c r="Q1234" s="46"/>
      <c r="R1234" s="46"/>
      <c r="S1234" s="46"/>
      <c r="T1234" s="46"/>
      <c r="U1234" s="46"/>
      <c r="V1234" s="46"/>
      <c r="W1234" s="46"/>
      <c r="X1234" s="46"/>
      <c r="Y1234" s="46"/>
      <c r="Z1234" s="46"/>
      <c r="AA1234" s="46"/>
    </row>
    <row r="1235">
      <c r="A1235" s="46"/>
      <c r="B1235" s="46"/>
      <c r="C1235" s="46"/>
      <c r="D1235" s="46"/>
      <c r="E1235" s="46"/>
      <c r="F1235" s="46"/>
      <c r="G1235" s="46"/>
      <c r="H1235" s="46"/>
      <c r="I1235" s="46"/>
      <c r="J1235" s="46"/>
      <c r="K1235" s="46"/>
      <c r="L1235" s="46"/>
      <c r="M1235" s="46"/>
      <c r="N1235" s="46"/>
      <c r="O1235" s="46"/>
      <c r="P1235" s="46"/>
      <c r="Q1235" s="46"/>
      <c r="R1235" s="46"/>
      <c r="S1235" s="46"/>
      <c r="T1235" s="46"/>
      <c r="U1235" s="46"/>
      <c r="V1235" s="46"/>
      <c r="W1235" s="46"/>
      <c r="X1235" s="46"/>
      <c r="Y1235" s="46"/>
      <c r="Z1235" s="46"/>
      <c r="AA1235" s="46"/>
    </row>
    <row r="1236">
      <c r="A1236" s="46"/>
      <c r="B1236" s="46"/>
      <c r="C1236" s="46"/>
      <c r="D1236" s="46"/>
      <c r="E1236" s="46"/>
      <c r="F1236" s="46"/>
      <c r="G1236" s="46"/>
      <c r="H1236" s="46"/>
      <c r="I1236" s="46"/>
      <c r="J1236" s="46"/>
      <c r="K1236" s="46"/>
      <c r="L1236" s="46"/>
      <c r="M1236" s="46"/>
      <c r="N1236" s="46"/>
      <c r="O1236" s="46"/>
      <c r="P1236" s="46"/>
      <c r="Q1236" s="46"/>
      <c r="R1236" s="46"/>
      <c r="S1236" s="46"/>
      <c r="T1236" s="46"/>
      <c r="U1236" s="46"/>
      <c r="V1236" s="46"/>
      <c r="W1236" s="46"/>
      <c r="X1236" s="46"/>
      <c r="Y1236" s="46"/>
      <c r="Z1236" s="46"/>
      <c r="AA1236" s="46"/>
    </row>
    <row r="1237">
      <c r="A1237" s="46"/>
      <c r="B1237" s="46"/>
      <c r="C1237" s="46"/>
      <c r="D1237" s="46"/>
      <c r="E1237" s="46"/>
      <c r="F1237" s="46"/>
      <c r="G1237" s="46"/>
      <c r="H1237" s="46"/>
      <c r="I1237" s="46"/>
      <c r="J1237" s="46"/>
      <c r="K1237" s="46"/>
      <c r="L1237" s="46"/>
      <c r="M1237" s="46"/>
      <c r="N1237" s="46"/>
      <c r="O1237" s="46"/>
      <c r="P1237" s="46"/>
      <c r="Q1237" s="46"/>
      <c r="R1237" s="46"/>
      <c r="S1237" s="46"/>
      <c r="T1237" s="46"/>
      <c r="U1237" s="46"/>
      <c r="V1237" s="46"/>
      <c r="W1237" s="46"/>
      <c r="X1237" s="46"/>
      <c r="Y1237" s="46"/>
      <c r="Z1237" s="46"/>
      <c r="AA1237" s="46"/>
    </row>
    <row r="1238">
      <c r="A1238" s="46"/>
      <c r="B1238" s="46"/>
      <c r="C1238" s="46"/>
      <c r="D1238" s="46"/>
      <c r="E1238" s="46"/>
      <c r="F1238" s="46"/>
      <c r="G1238" s="46"/>
      <c r="H1238" s="46"/>
      <c r="I1238" s="46"/>
      <c r="J1238" s="46"/>
      <c r="K1238" s="46"/>
      <c r="L1238" s="46"/>
      <c r="M1238" s="46"/>
      <c r="N1238" s="46"/>
      <c r="O1238" s="46"/>
      <c r="P1238" s="46"/>
      <c r="Q1238" s="46"/>
      <c r="R1238" s="46"/>
      <c r="S1238" s="46"/>
      <c r="T1238" s="46"/>
      <c r="U1238" s="46"/>
      <c r="V1238" s="46"/>
      <c r="W1238" s="46"/>
      <c r="X1238" s="46"/>
      <c r="Y1238" s="46"/>
      <c r="Z1238" s="46"/>
      <c r="AA1238" s="46"/>
    </row>
    <row r="1239">
      <c r="A1239" s="46"/>
      <c r="B1239" s="46"/>
      <c r="C1239" s="46"/>
      <c r="D1239" s="46"/>
      <c r="E1239" s="46"/>
      <c r="F1239" s="46"/>
      <c r="G1239" s="46"/>
      <c r="H1239" s="46"/>
      <c r="I1239" s="46"/>
      <c r="J1239" s="46"/>
      <c r="K1239" s="46"/>
      <c r="L1239" s="46"/>
      <c r="M1239" s="46"/>
      <c r="N1239" s="46"/>
      <c r="O1239" s="46"/>
      <c r="P1239" s="46"/>
      <c r="Q1239" s="46"/>
      <c r="R1239" s="46"/>
      <c r="S1239" s="46"/>
      <c r="T1239" s="46"/>
      <c r="U1239" s="46"/>
      <c r="V1239" s="46"/>
      <c r="W1239" s="46"/>
      <c r="X1239" s="46"/>
      <c r="Y1239" s="46"/>
      <c r="Z1239" s="46"/>
      <c r="AA1239" s="46"/>
    </row>
    <row r="1240">
      <c r="A1240" s="46"/>
      <c r="B1240" s="46"/>
      <c r="C1240" s="46"/>
      <c r="D1240" s="46"/>
      <c r="E1240" s="46"/>
      <c r="F1240" s="46"/>
      <c r="G1240" s="46"/>
      <c r="H1240" s="46"/>
      <c r="I1240" s="46"/>
      <c r="J1240" s="46"/>
      <c r="K1240" s="46"/>
      <c r="L1240" s="46"/>
      <c r="M1240" s="46"/>
      <c r="N1240" s="46"/>
      <c r="O1240" s="46"/>
      <c r="P1240" s="46"/>
      <c r="Q1240" s="46"/>
      <c r="R1240" s="46"/>
      <c r="S1240" s="46"/>
      <c r="T1240" s="46"/>
      <c r="U1240" s="46"/>
      <c r="V1240" s="46"/>
      <c r="W1240" s="46"/>
      <c r="X1240" s="46"/>
      <c r="Y1240" s="46"/>
      <c r="Z1240" s="46"/>
      <c r="AA1240" s="46"/>
    </row>
    <row r="1241">
      <c r="A1241" s="46"/>
      <c r="B1241" s="46"/>
      <c r="C1241" s="46"/>
      <c r="D1241" s="46"/>
      <c r="E1241" s="46"/>
      <c r="F1241" s="46"/>
      <c r="G1241" s="46"/>
      <c r="H1241" s="46"/>
      <c r="I1241" s="46"/>
      <c r="J1241" s="46"/>
      <c r="K1241" s="46"/>
      <c r="L1241" s="46"/>
      <c r="M1241" s="46"/>
      <c r="N1241" s="46"/>
      <c r="O1241" s="46"/>
      <c r="P1241" s="46"/>
      <c r="Q1241" s="46"/>
      <c r="R1241" s="46"/>
      <c r="S1241" s="46"/>
      <c r="T1241" s="46"/>
      <c r="U1241" s="46"/>
      <c r="V1241" s="46"/>
      <c r="W1241" s="46"/>
      <c r="X1241" s="46"/>
      <c r="Y1241" s="46"/>
      <c r="Z1241" s="46"/>
      <c r="AA1241" s="46"/>
    </row>
    <row r="1242">
      <c r="A1242" s="46"/>
      <c r="B1242" s="46"/>
      <c r="C1242" s="46"/>
      <c r="D1242" s="46"/>
      <c r="E1242" s="46"/>
      <c r="F1242" s="46"/>
      <c r="G1242" s="46"/>
      <c r="H1242" s="46"/>
      <c r="I1242" s="46"/>
      <c r="J1242" s="46"/>
      <c r="K1242" s="46"/>
      <c r="L1242" s="46"/>
      <c r="M1242" s="46"/>
      <c r="N1242" s="46"/>
      <c r="O1242" s="46"/>
      <c r="P1242" s="46"/>
      <c r="Q1242" s="46"/>
      <c r="R1242" s="46"/>
      <c r="S1242" s="46"/>
      <c r="T1242" s="46"/>
      <c r="U1242" s="46"/>
      <c r="V1242" s="46"/>
      <c r="W1242" s="46"/>
      <c r="X1242" s="46"/>
      <c r="Y1242" s="46"/>
      <c r="Z1242" s="46"/>
      <c r="AA1242" s="46"/>
    </row>
    <row r="1243">
      <c r="A1243" s="46"/>
      <c r="B1243" s="46"/>
      <c r="C1243" s="46"/>
      <c r="D1243" s="46"/>
      <c r="E1243" s="46"/>
      <c r="F1243" s="46"/>
      <c r="G1243" s="46"/>
      <c r="H1243" s="46"/>
      <c r="I1243" s="46"/>
      <c r="J1243" s="46"/>
      <c r="K1243" s="46"/>
      <c r="L1243" s="46"/>
      <c r="M1243" s="46"/>
      <c r="N1243" s="46"/>
      <c r="O1243" s="46"/>
      <c r="P1243" s="46"/>
      <c r="Q1243" s="46"/>
      <c r="R1243" s="46"/>
      <c r="S1243" s="46"/>
      <c r="T1243" s="46"/>
      <c r="U1243" s="46"/>
      <c r="V1243" s="46"/>
      <c r="W1243" s="46"/>
      <c r="X1243" s="46"/>
      <c r="Y1243" s="46"/>
      <c r="Z1243" s="46"/>
      <c r="AA1243" s="46"/>
    </row>
    <row r="1244">
      <c r="A1244" s="46"/>
      <c r="B1244" s="46"/>
      <c r="C1244" s="46"/>
      <c r="D1244" s="46"/>
      <c r="E1244" s="46"/>
      <c r="F1244" s="46"/>
      <c r="G1244" s="46"/>
      <c r="H1244" s="46"/>
      <c r="I1244" s="46"/>
      <c r="J1244" s="46"/>
      <c r="K1244" s="46"/>
      <c r="L1244" s="46"/>
      <c r="M1244" s="46"/>
      <c r="N1244" s="46"/>
      <c r="O1244" s="46"/>
      <c r="P1244" s="46"/>
      <c r="Q1244" s="46"/>
      <c r="R1244" s="46"/>
      <c r="S1244" s="46"/>
      <c r="T1244" s="46"/>
      <c r="U1244" s="46"/>
      <c r="V1244" s="46"/>
      <c r="W1244" s="46"/>
      <c r="X1244" s="46"/>
      <c r="Y1244" s="46"/>
      <c r="Z1244" s="46"/>
      <c r="AA1244" s="46"/>
    </row>
    <row r="1245">
      <c r="A1245" s="46"/>
      <c r="B1245" s="46"/>
      <c r="C1245" s="46"/>
      <c r="D1245" s="46"/>
      <c r="E1245" s="46"/>
      <c r="F1245" s="46"/>
      <c r="G1245" s="46"/>
      <c r="H1245" s="46"/>
      <c r="I1245" s="46"/>
      <c r="J1245" s="46"/>
      <c r="K1245" s="46"/>
      <c r="L1245" s="46"/>
      <c r="M1245" s="46"/>
      <c r="N1245" s="46"/>
      <c r="O1245" s="46"/>
      <c r="P1245" s="46"/>
      <c r="Q1245" s="46"/>
      <c r="R1245" s="46"/>
      <c r="S1245" s="46"/>
      <c r="T1245" s="46"/>
      <c r="U1245" s="46"/>
      <c r="V1245" s="46"/>
      <c r="W1245" s="46"/>
      <c r="X1245" s="46"/>
      <c r="Y1245" s="46"/>
      <c r="Z1245" s="46"/>
      <c r="AA1245" s="46"/>
    </row>
    <row r="1246">
      <c r="A1246" s="46"/>
      <c r="B1246" s="46"/>
      <c r="C1246" s="46"/>
      <c r="D1246" s="46"/>
      <c r="E1246" s="46"/>
      <c r="F1246" s="46"/>
      <c r="G1246" s="46"/>
      <c r="H1246" s="46"/>
      <c r="I1246" s="46"/>
      <c r="J1246" s="46"/>
      <c r="K1246" s="46"/>
      <c r="L1246" s="46"/>
      <c r="M1246" s="46"/>
      <c r="N1246" s="46"/>
      <c r="O1246" s="46"/>
      <c r="P1246" s="46"/>
      <c r="Q1246" s="46"/>
      <c r="R1246" s="46"/>
      <c r="S1246" s="46"/>
      <c r="T1246" s="46"/>
      <c r="U1246" s="46"/>
      <c r="V1246" s="46"/>
      <c r="W1246" s="46"/>
      <c r="X1246" s="46"/>
      <c r="Y1246" s="46"/>
      <c r="Z1246" s="46"/>
      <c r="AA1246" s="46"/>
    </row>
    <row r="1247">
      <c r="A1247" s="46"/>
      <c r="B1247" s="46"/>
      <c r="C1247" s="46"/>
      <c r="D1247" s="46"/>
      <c r="E1247" s="46"/>
      <c r="F1247" s="46"/>
      <c r="G1247" s="46"/>
      <c r="H1247" s="46"/>
      <c r="I1247" s="46"/>
      <c r="J1247" s="46"/>
      <c r="K1247" s="46"/>
      <c r="L1247" s="46"/>
      <c r="M1247" s="46"/>
      <c r="N1247" s="46"/>
      <c r="O1247" s="46"/>
      <c r="P1247" s="46"/>
      <c r="Q1247" s="46"/>
      <c r="R1247" s="46"/>
      <c r="S1247" s="46"/>
      <c r="T1247" s="46"/>
      <c r="U1247" s="46"/>
      <c r="V1247" s="46"/>
      <c r="W1247" s="46"/>
      <c r="X1247" s="46"/>
      <c r="Y1247" s="46"/>
      <c r="Z1247" s="46"/>
      <c r="AA1247" s="46"/>
    </row>
    <row r="1248">
      <c r="A1248" s="46"/>
      <c r="B1248" s="46"/>
      <c r="C1248" s="46"/>
      <c r="D1248" s="46"/>
      <c r="E1248" s="46"/>
      <c r="F1248" s="46"/>
      <c r="G1248" s="46"/>
      <c r="H1248" s="46"/>
      <c r="I1248" s="46"/>
      <c r="J1248" s="46"/>
      <c r="K1248" s="46"/>
      <c r="L1248" s="46"/>
      <c r="M1248" s="46"/>
      <c r="N1248" s="46"/>
      <c r="O1248" s="46"/>
      <c r="P1248" s="46"/>
      <c r="Q1248" s="46"/>
      <c r="R1248" s="46"/>
      <c r="S1248" s="46"/>
      <c r="T1248" s="46"/>
      <c r="U1248" s="46"/>
      <c r="V1248" s="46"/>
      <c r="W1248" s="46"/>
      <c r="X1248" s="46"/>
      <c r="Y1248" s="46"/>
      <c r="Z1248" s="46"/>
      <c r="AA1248" s="46"/>
    </row>
    <row r="1249">
      <c r="A1249" s="46"/>
      <c r="B1249" s="46"/>
      <c r="C1249" s="46"/>
      <c r="D1249" s="46"/>
      <c r="E1249" s="46"/>
      <c r="F1249" s="46"/>
      <c r="G1249" s="46"/>
      <c r="H1249" s="46"/>
      <c r="I1249" s="46"/>
      <c r="J1249" s="46"/>
      <c r="K1249" s="46"/>
      <c r="L1249" s="46"/>
      <c r="M1249" s="46"/>
      <c r="N1249" s="46"/>
      <c r="O1249" s="46"/>
      <c r="P1249" s="46"/>
      <c r="Q1249" s="46"/>
      <c r="R1249" s="46"/>
      <c r="S1249" s="46"/>
      <c r="T1249" s="46"/>
      <c r="U1249" s="46"/>
      <c r="V1249" s="46"/>
      <c r="W1249" s="46"/>
      <c r="X1249" s="46"/>
      <c r="Y1249" s="46"/>
      <c r="Z1249" s="46"/>
      <c r="AA1249" s="46"/>
    </row>
    <row r="1250">
      <c r="A1250" s="46"/>
      <c r="B1250" s="46"/>
      <c r="C1250" s="46"/>
      <c r="D1250" s="46"/>
      <c r="E1250" s="46"/>
      <c r="F1250" s="46"/>
      <c r="G1250" s="46"/>
      <c r="H1250" s="46"/>
      <c r="I1250" s="46"/>
      <c r="J1250" s="46"/>
      <c r="K1250" s="46"/>
      <c r="L1250" s="46"/>
      <c r="M1250" s="46"/>
      <c r="N1250" s="46"/>
      <c r="O1250" s="46"/>
      <c r="P1250" s="46"/>
      <c r="Q1250" s="46"/>
      <c r="R1250" s="46"/>
      <c r="S1250" s="46"/>
      <c r="T1250" s="46"/>
      <c r="U1250" s="46"/>
      <c r="V1250" s="46"/>
      <c r="W1250" s="46"/>
      <c r="X1250" s="46"/>
      <c r="Y1250" s="46"/>
      <c r="Z1250" s="46"/>
      <c r="AA1250" s="46"/>
    </row>
    <row r="1251">
      <c r="A1251" s="46"/>
      <c r="B1251" s="46"/>
      <c r="C1251" s="46"/>
      <c r="D1251" s="46"/>
      <c r="E1251" s="46"/>
      <c r="F1251" s="46"/>
      <c r="G1251" s="46"/>
      <c r="H1251" s="46"/>
      <c r="I1251" s="46"/>
      <c r="J1251" s="46"/>
      <c r="K1251" s="46"/>
      <c r="L1251" s="46"/>
      <c r="M1251" s="46"/>
      <c r="N1251" s="46"/>
      <c r="O1251" s="46"/>
      <c r="P1251" s="46"/>
      <c r="Q1251" s="46"/>
      <c r="R1251" s="46"/>
      <c r="S1251" s="46"/>
      <c r="T1251" s="46"/>
      <c r="U1251" s="46"/>
      <c r="V1251" s="46"/>
      <c r="W1251" s="46"/>
      <c r="X1251" s="46"/>
      <c r="Y1251" s="46"/>
      <c r="Z1251" s="46"/>
      <c r="AA1251" s="46"/>
    </row>
    <row r="1252">
      <c r="A1252" s="46"/>
      <c r="B1252" s="46"/>
      <c r="C1252" s="46"/>
      <c r="D1252" s="46"/>
      <c r="E1252" s="46"/>
      <c r="F1252" s="46"/>
      <c r="G1252" s="46"/>
      <c r="H1252" s="46"/>
      <c r="I1252" s="46"/>
      <c r="J1252" s="46"/>
      <c r="K1252" s="46"/>
      <c r="L1252" s="46"/>
      <c r="M1252" s="46"/>
      <c r="N1252" s="46"/>
      <c r="O1252" s="46"/>
      <c r="P1252" s="46"/>
      <c r="Q1252" s="46"/>
      <c r="R1252" s="46"/>
      <c r="S1252" s="46"/>
      <c r="T1252" s="46"/>
      <c r="U1252" s="46"/>
      <c r="V1252" s="46"/>
      <c r="W1252" s="46"/>
      <c r="X1252" s="46"/>
      <c r="Y1252" s="46"/>
      <c r="Z1252" s="46"/>
      <c r="AA1252" s="46"/>
    </row>
    <row r="1253">
      <c r="A1253" s="46"/>
      <c r="B1253" s="46"/>
      <c r="C1253" s="46"/>
      <c r="D1253" s="46"/>
      <c r="E1253" s="46"/>
      <c r="F1253" s="46"/>
      <c r="G1253" s="46"/>
      <c r="H1253" s="46"/>
      <c r="I1253" s="46"/>
      <c r="J1253" s="46"/>
      <c r="K1253" s="46"/>
      <c r="L1253" s="46"/>
      <c r="M1253" s="46"/>
      <c r="N1253" s="46"/>
      <c r="O1253" s="46"/>
      <c r="P1253" s="46"/>
      <c r="Q1253" s="46"/>
      <c r="R1253" s="46"/>
      <c r="S1253" s="46"/>
      <c r="T1253" s="46"/>
      <c r="U1253" s="46"/>
      <c r="V1253" s="46"/>
      <c r="W1253" s="46"/>
      <c r="X1253" s="46"/>
      <c r="Y1253" s="46"/>
      <c r="Z1253" s="46"/>
      <c r="AA1253" s="46"/>
    </row>
    <row r="1254">
      <c r="A1254" s="46"/>
      <c r="B1254" s="46"/>
      <c r="C1254" s="46"/>
      <c r="D1254" s="46"/>
      <c r="E1254" s="46"/>
      <c r="F1254" s="46"/>
      <c r="G1254" s="46"/>
      <c r="H1254" s="46"/>
      <c r="I1254" s="46"/>
      <c r="J1254" s="46"/>
      <c r="K1254" s="46"/>
      <c r="L1254" s="46"/>
      <c r="M1254" s="46"/>
      <c r="N1254" s="46"/>
      <c r="O1254" s="46"/>
      <c r="P1254" s="46"/>
      <c r="Q1254" s="46"/>
      <c r="R1254" s="46"/>
      <c r="S1254" s="46"/>
      <c r="T1254" s="46"/>
      <c r="U1254" s="46"/>
      <c r="V1254" s="46"/>
      <c r="W1254" s="46"/>
      <c r="X1254" s="46"/>
      <c r="Y1254" s="46"/>
      <c r="Z1254" s="46"/>
      <c r="AA1254" s="46"/>
    </row>
    <row r="1255">
      <c r="A1255" s="46"/>
      <c r="B1255" s="46"/>
      <c r="C1255" s="46"/>
      <c r="D1255" s="46"/>
      <c r="E1255" s="46"/>
      <c r="F1255" s="46"/>
      <c r="G1255" s="46"/>
      <c r="H1255" s="46"/>
      <c r="I1255" s="46"/>
      <c r="J1255" s="46"/>
      <c r="K1255" s="46"/>
      <c r="L1255" s="46"/>
      <c r="M1255" s="46"/>
      <c r="N1255" s="46"/>
      <c r="O1255" s="46"/>
      <c r="P1255" s="46"/>
      <c r="Q1255" s="46"/>
      <c r="R1255" s="46"/>
      <c r="S1255" s="46"/>
      <c r="T1255" s="46"/>
      <c r="U1255" s="46"/>
      <c r="V1255" s="46"/>
      <c r="W1255" s="46"/>
      <c r="X1255" s="46"/>
      <c r="Y1255" s="46"/>
      <c r="Z1255" s="46"/>
      <c r="AA1255" s="46"/>
    </row>
    <row r="1256">
      <c r="A1256" s="46"/>
      <c r="B1256" s="46"/>
      <c r="C1256" s="46"/>
      <c r="D1256" s="46"/>
      <c r="E1256" s="46"/>
      <c r="F1256" s="46"/>
      <c r="G1256" s="46"/>
      <c r="H1256" s="46"/>
      <c r="I1256" s="46"/>
      <c r="J1256" s="46"/>
      <c r="K1256" s="46"/>
      <c r="L1256" s="46"/>
      <c r="M1256" s="46"/>
      <c r="N1256" s="46"/>
      <c r="O1256" s="46"/>
      <c r="P1256" s="46"/>
      <c r="Q1256" s="46"/>
      <c r="R1256" s="46"/>
      <c r="S1256" s="46"/>
      <c r="T1256" s="46"/>
      <c r="U1256" s="46"/>
      <c r="V1256" s="46"/>
      <c r="W1256" s="46"/>
      <c r="X1256" s="46"/>
      <c r="Y1256" s="46"/>
      <c r="Z1256" s="46"/>
      <c r="AA1256" s="46"/>
    </row>
    <row r="1257">
      <c r="A1257" s="46"/>
      <c r="B1257" s="46"/>
      <c r="C1257" s="46"/>
      <c r="D1257" s="46"/>
      <c r="E1257" s="46"/>
      <c r="F1257" s="46"/>
      <c r="G1257" s="46"/>
      <c r="H1257" s="46"/>
      <c r="I1257" s="46"/>
      <c r="J1257" s="46"/>
      <c r="K1257" s="46"/>
      <c r="L1257" s="46"/>
      <c r="M1257" s="46"/>
      <c r="N1257" s="46"/>
      <c r="O1257" s="46"/>
      <c r="P1257" s="46"/>
      <c r="Q1257" s="46"/>
      <c r="R1257" s="46"/>
      <c r="S1257" s="46"/>
      <c r="T1257" s="46"/>
      <c r="U1257" s="46"/>
      <c r="V1257" s="46"/>
      <c r="W1257" s="46"/>
      <c r="X1257" s="46"/>
      <c r="Y1257" s="46"/>
      <c r="Z1257" s="46"/>
      <c r="AA1257" s="46"/>
    </row>
    <row r="1258">
      <c r="A1258" s="46"/>
      <c r="B1258" s="46"/>
      <c r="C1258" s="46"/>
      <c r="D1258" s="46"/>
      <c r="E1258" s="46"/>
      <c r="F1258" s="46"/>
      <c r="G1258" s="46"/>
      <c r="H1258" s="46"/>
      <c r="I1258" s="46"/>
      <c r="J1258" s="46"/>
      <c r="K1258" s="46"/>
      <c r="L1258" s="46"/>
      <c r="M1258" s="46"/>
      <c r="N1258" s="46"/>
      <c r="O1258" s="46"/>
      <c r="P1258" s="46"/>
      <c r="Q1258" s="46"/>
      <c r="R1258" s="46"/>
      <c r="S1258" s="46"/>
      <c r="T1258" s="46"/>
      <c r="U1258" s="46"/>
      <c r="V1258" s="46"/>
      <c r="W1258" s="46"/>
      <c r="X1258" s="46"/>
      <c r="Y1258" s="46"/>
      <c r="Z1258" s="46"/>
      <c r="AA1258" s="46"/>
    </row>
    <row r="1259">
      <c r="A1259" s="46"/>
      <c r="B1259" s="46"/>
      <c r="C1259" s="46"/>
      <c r="D1259" s="46"/>
      <c r="E1259" s="46"/>
      <c r="F1259" s="46"/>
      <c r="G1259" s="46"/>
      <c r="H1259" s="46"/>
      <c r="I1259" s="46"/>
      <c r="J1259" s="46"/>
      <c r="K1259" s="46"/>
      <c r="L1259" s="46"/>
      <c r="M1259" s="46"/>
      <c r="N1259" s="46"/>
      <c r="O1259" s="46"/>
      <c r="P1259" s="46"/>
      <c r="Q1259" s="46"/>
      <c r="R1259" s="46"/>
      <c r="S1259" s="46"/>
      <c r="T1259" s="46"/>
      <c r="U1259" s="46"/>
      <c r="V1259" s="46"/>
      <c r="W1259" s="46"/>
      <c r="X1259" s="46"/>
      <c r="Y1259" s="46"/>
      <c r="Z1259" s="46"/>
      <c r="AA1259" s="46"/>
    </row>
    <row r="1260">
      <c r="A1260" s="46"/>
      <c r="B1260" s="46"/>
      <c r="C1260" s="46"/>
      <c r="D1260" s="46"/>
      <c r="E1260" s="46"/>
      <c r="F1260" s="46"/>
      <c r="G1260" s="46"/>
      <c r="H1260" s="46"/>
      <c r="I1260" s="46"/>
      <c r="J1260" s="46"/>
      <c r="K1260" s="46"/>
      <c r="L1260" s="46"/>
      <c r="M1260" s="46"/>
      <c r="N1260" s="46"/>
      <c r="O1260" s="46"/>
      <c r="P1260" s="46"/>
      <c r="Q1260" s="46"/>
      <c r="R1260" s="46"/>
      <c r="S1260" s="46"/>
      <c r="T1260" s="46"/>
      <c r="U1260" s="46"/>
      <c r="V1260" s="46"/>
      <c r="W1260" s="46"/>
      <c r="X1260" s="46"/>
      <c r="Y1260" s="46"/>
      <c r="Z1260" s="46"/>
      <c r="AA1260" s="46"/>
    </row>
    <row r="1261">
      <c r="A1261" s="46"/>
      <c r="B1261" s="46"/>
      <c r="C1261" s="46"/>
      <c r="D1261" s="46"/>
      <c r="E1261" s="46"/>
      <c r="F1261" s="46"/>
      <c r="G1261" s="46"/>
      <c r="H1261" s="46"/>
      <c r="I1261" s="46"/>
      <c r="J1261" s="46"/>
      <c r="K1261" s="46"/>
      <c r="L1261" s="46"/>
      <c r="M1261" s="46"/>
      <c r="N1261" s="46"/>
      <c r="O1261" s="46"/>
      <c r="P1261" s="46"/>
      <c r="Q1261" s="46"/>
      <c r="R1261" s="46"/>
      <c r="S1261" s="46"/>
      <c r="T1261" s="46"/>
      <c r="U1261" s="46"/>
      <c r="V1261" s="46"/>
      <c r="W1261" s="46"/>
      <c r="X1261" s="46"/>
      <c r="Y1261" s="46"/>
      <c r="Z1261" s="46"/>
      <c r="AA1261" s="46"/>
    </row>
    <row r="1262">
      <c r="A1262" s="46"/>
      <c r="B1262" s="46"/>
      <c r="C1262" s="46"/>
      <c r="D1262" s="46"/>
      <c r="E1262" s="46"/>
      <c r="F1262" s="46"/>
      <c r="G1262" s="46"/>
      <c r="H1262" s="46"/>
      <c r="I1262" s="46"/>
      <c r="J1262" s="46"/>
      <c r="K1262" s="46"/>
      <c r="L1262" s="46"/>
      <c r="M1262" s="46"/>
      <c r="N1262" s="46"/>
      <c r="O1262" s="46"/>
      <c r="P1262" s="46"/>
      <c r="Q1262" s="46"/>
      <c r="R1262" s="46"/>
      <c r="S1262" s="46"/>
      <c r="T1262" s="46"/>
      <c r="U1262" s="46"/>
      <c r="V1262" s="46"/>
      <c r="W1262" s="46"/>
      <c r="X1262" s="46"/>
      <c r="Y1262" s="46"/>
      <c r="Z1262" s="46"/>
      <c r="AA1262" s="46"/>
    </row>
    <row r="1263">
      <c r="A1263" s="46"/>
      <c r="B1263" s="46"/>
      <c r="C1263" s="46"/>
      <c r="D1263" s="46"/>
      <c r="E1263" s="46"/>
      <c r="F1263" s="46"/>
      <c r="G1263" s="46"/>
      <c r="H1263" s="46"/>
      <c r="I1263" s="46"/>
      <c r="J1263" s="46"/>
      <c r="K1263" s="46"/>
      <c r="L1263" s="46"/>
      <c r="M1263" s="46"/>
      <c r="N1263" s="46"/>
      <c r="O1263" s="46"/>
      <c r="P1263" s="46"/>
      <c r="Q1263" s="46"/>
      <c r="R1263" s="46"/>
      <c r="S1263" s="46"/>
      <c r="T1263" s="46"/>
      <c r="U1263" s="46"/>
      <c r="V1263" s="46"/>
      <c r="W1263" s="46"/>
      <c r="X1263" s="46"/>
      <c r="Y1263" s="46"/>
      <c r="Z1263" s="46"/>
      <c r="AA1263" s="46"/>
    </row>
    <row r="1264">
      <c r="A1264" s="46"/>
      <c r="B1264" s="46"/>
      <c r="C1264" s="46"/>
      <c r="D1264" s="46"/>
      <c r="E1264" s="46"/>
      <c r="F1264" s="46"/>
      <c r="G1264" s="46"/>
      <c r="H1264" s="46"/>
      <c r="I1264" s="46"/>
      <c r="J1264" s="46"/>
      <c r="K1264" s="46"/>
      <c r="L1264" s="46"/>
      <c r="M1264" s="46"/>
      <c r="N1264" s="46"/>
      <c r="O1264" s="46"/>
      <c r="P1264" s="46"/>
      <c r="Q1264" s="46"/>
      <c r="R1264" s="46"/>
      <c r="S1264" s="46"/>
      <c r="T1264" s="46"/>
      <c r="U1264" s="46"/>
      <c r="V1264" s="46"/>
      <c r="W1264" s="46"/>
      <c r="X1264" s="46"/>
      <c r="Y1264" s="46"/>
      <c r="Z1264" s="46"/>
      <c r="AA1264" s="46"/>
    </row>
    <row r="1265">
      <c r="A1265" s="46"/>
      <c r="B1265" s="46"/>
      <c r="C1265" s="46"/>
      <c r="D1265" s="46"/>
      <c r="E1265" s="46"/>
      <c r="F1265" s="46"/>
      <c r="G1265" s="46"/>
      <c r="H1265" s="46"/>
      <c r="I1265" s="46"/>
      <c r="J1265" s="46"/>
      <c r="K1265" s="46"/>
      <c r="L1265" s="46"/>
      <c r="M1265" s="46"/>
      <c r="N1265" s="46"/>
      <c r="O1265" s="46"/>
      <c r="P1265" s="46"/>
      <c r="Q1265" s="46"/>
      <c r="R1265" s="46"/>
      <c r="S1265" s="46"/>
      <c r="T1265" s="46"/>
      <c r="U1265" s="46"/>
      <c r="V1265" s="46"/>
      <c r="W1265" s="46"/>
      <c r="X1265" s="46"/>
      <c r="Y1265" s="46"/>
      <c r="Z1265" s="46"/>
      <c r="AA1265" s="46"/>
    </row>
    <row r="1266">
      <c r="A1266" s="46"/>
      <c r="B1266" s="46"/>
      <c r="C1266" s="46"/>
      <c r="D1266" s="46"/>
      <c r="E1266" s="46"/>
      <c r="F1266" s="46"/>
      <c r="G1266" s="46"/>
      <c r="H1266" s="46"/>
      <c r="I1266" s="46"/>
      <c r="J1266" s="46"/>
      <c r="K1266" s="46"/>
      <c r="L1266" s="46"/>
      <c r="M1266" s="46"/>
      <c r="N1266" s="46"/>
      <c r="O1266" s="46"/>
      <c r="P1266" s="46"/>
      <c r="Q1266" s="46"/>
      <c r="R1266" s="46"/>
      <c r="S1266" s="46"/>
      <c r="T1266" s="46"/>
      <c r="U1266" s="46"/>
      <c r="V1266" s="46"/>
      <c r="W1266" s="46"/>
      <c r="X1266" s="46"/>
      <c r="Y1266" s="46"/>
      <c r="Z1266" s="46"/>
      <c r="AA1266" s="46"/>
    </row>
    <row r="1267">
      <c r="A1267" s="46"/>
      <c r="B1267" s="46"/>
      <c r="C1267" s="46"/>
      <c r="D1267" s="46"/>
      <c r="E1267" s="46"/>
      <c r="F1267" s="46"/>
      <c r="G1267" s="46"/>
      <c r="H1267" s="46"/>
      <c r="I1267" s="46"/>
      <c r="J1267" s="46"/>
      <c r="K1267" s="46"/>
      <c r="L1267" s="46"/>
      <c r="M1267" s="46"/>
      <c r="N1267" s="46"/>
      <c r="O1267" s="46"/>
      <c r="P1267" s="46"/>
      <c r="Q1267" s="46"/>
      <c r="R1267" s="46"/>
      <c r="S1267" s="46"/>
      <c r="T1267" s="46"/>
      <c r="U1267" s="46"/>
      <c r="V1267" s="46"/>
      <c r="W1267" s="46"/>
      <c r="X1267" s="46"/>
      <c r="Y1267" s="46"/>
      <c r="Z1267" s="46"/>
      <c r="AA1267" s="46"/>
    </row>
    <row r="1268">
      <c r="A1268" s="46"/>
      <c r="B1268" s="46"/>
      <c r="C1268" s="46"/>
      <c r="D1268" s="46"/>
      <c r="E1268" s="46"/>
      <c r="F1268" s="46"/>
      <c r="G1268" s="46"/>
      <c r="H1268" s="46"/>
      <c r="I1268" s="46"/>
      <c r="J1268" s="46"/>
      <c r="K1268" s="46"/>
      <c r="L1268" s="46"/>
      <c r="M1268" s="46"/>
      <c r="N1268" s="46"/>
      <c r="O1268" s="46"/>
      <c r="P1268" s="46"/>
      <c r="Q1268" s="46"/>
      <c r="R1268" s="46"/>
      <c r="S1268" s="46"/>
      <c r="T1268" s="46"/>
      <c r="U1268" s="46"/>
      <c r="V1268" s="46"/>
      <c r="W1268" s="46"/>
      <c r="X1268" s="46"/>
      <c r="Y1268" s="46"/>
      <c r="Z1268" s="46"/>
      <c r="AA1268" s="46"/>
    </row>
    <row r="1269">
      <c r="A1269" s="46"/>
      <c r="B1269" s="46"/>
      <c r="C1269" s="46"/>
      <c r="D1269" s="46"/>
      <c r="E1269" s="46"/>
      <c r="F1269" s="46"/>
      <c r="G1269" s="46"/>
      <c r="H1269" s="46"/>
      <c r="I1269" s="46"/>
      <c r="J1269" s="46"/>
      <c r="K1269" s="46"/>
      <c r="L1269" s="46"/>
      <c r="M1269" s="46"/>
      <c r="N1269" s="46"/>
      <c r="O1269" s="46"/>
      <c r="P1269" s="46"/>
      <c r="Q1269" s="46"/>
      <c r="R1269" s="46"/>
      <c r="S1269" s="46"/>
      <c r="T1269" s="46"/>
      <c r="U1269" s="46"/>
      <c r="V1269" s="46"/>
      <c r="W1269" s="46"/>
      <c r="X1269" s="46"/>
      <c r="Y1269" s="46"/>
      <c r="Z1269" s="46"/>
      <c r="AA1269" s="46"/>
    </row>
    <row r="1270">
      <c r="A1270" s="46"/>
      <c r="B1270" s="46"/>
      <c r="C1270" s="46"/>
      <c r="D1270" s="46"/>
      <c r="E1270" s="46"/>
      <c r="F1270" s="46"/>
      <c r="G1270" s="46"/>
      <c r="H1270" s="46"/>
      <c r="I1270" s="46"/>
      <c r="J1270" s="46"/>
      <c r="K1270" s="46"/>
      <c r="L1270" s="46"/>
      <c r="M1270" s="46"/>
      <c r="N1270" s="46"/>
      <c r="O1270" s="46"/>
      <c r="P1270" s="46"/>
      <c r="Q1270" s="46"/>
      <c r="R1270" s="46"/>
      <c r="S1270" s="46"/>
      <c r="T1270" s="46"/>
      <c r="U1270" s="46"/>
      <c r="V1270" s="46"/>
      <c r="W1270" s="46"/>
      <c r="X1270" s="46"/>
      <c r="Y1270" s="46"/>
      <c r="Z1270" s="46"/>
      <c r="AA1270" s="46"/>
    </row>
    <row r="1271">
      <c r="A1271" s="46"/>
      <c r="B1271" s="46"/>
      <c r="C1271" s="46"/>
      <c r="D1271" s="46"/>
      <c r="E1271" s="46"/>
      <c r="F1271" s="46"/>
      <c r="G1271" s="46"/>
      <c r="H1271" s="46"/>
      <c r="I1271" s="46"/>
      <c r="J1271" s="46"/>
      <c r="K1271" s="46"/>
      <c r="L1271" s="46"/>
      <c r="M1271" s="46"/>
      <c r="N1271" s="46"/>
      <c r="O1271" s="46"/>
      <c r="P1271" s="46"/>
      <c r="Q1271" s="46"/>
      <c r="R1271" s="46"/>
      <c r="S1271" s="46"/>
      <c r="T1271" s="46"/>
      <c r="U1271" s="46"/>
      <c r="V1271" s="46"/>
      <c r="W1271" s="46"/>
      <c r="X1271" s="46"/>
      <c r="Y1271" s="46"/>
      <c r="Z1271" s="46"/>
      <c r="AA1271" s="46"/>
    </row>
    <row r="1272">
      <c r="A1272" s="46"/>
      <c r="B1272" s="46"/>
      <c r="C1272" s="46"/>
      <c r="D1272" s="46"/>
      <c r="E1272" s="46"/>
      <c r="F1272" s="46"/>
      <c r="G1272" s="46"/>
      <c r="H1272" s="46"/>
      <c r="I1272" s="46"/>
      <c r="J1272" s="46"/>
      <c r="K1272" s="46"/>
      <c r="L1272" s="46"/>
      <c r="M1272" s="46"/>
      <c r="N1272" s="46"/>
      <c r="O1272" s="46"/>
      <c r="P1272" s="46"/>
      <c r="Q1272" s="46"/>
      <c r="R1272" s="46"/>
      <c r="S1272" s="46"/>
      <c r="T1272" s="46"/>
      <c r="U1272" s="46"/>
      <c r="V1272" s="46"/>
      <c r="W1272" s="46"/>
      <c r="X1272" s="46"/>
      <c r="Y1272" s="46"/>
      <c r="Z1272" s="46"/>
      <c r="AA1272" s="46"/>
    </row>
    <row r="1273">
      <c r="A1273" s="46"/>
      <c r="B1273" s="46"/>
      <c r="C1273" s="46"/>
      <c r="D1273" s="46"/>
      <c r="E1273" s="46"/>
      <c r="F1273" s="46"/>
      <c r="G1273" s="46"/>
      <c r="H1273" s="46"/>
      <c r="I1273" s="46"/>
      <c r="J1273" s="46"/>
      <c r="K1273" s="46"/>
      <c r="L1273" s="46"/>
      <c r="M1273" s="46"/>
      <c r="N1273" s="46"/>
      <c r="O1273" s="46"/>
      <c r="P1273" s="46"/>
      <c r="Q1273" s="46"/>
      <c r="R1273" s="46"/>
      <c r="S1273" s="46"/>
      <c r="T1273" s="46"/>
      <c r="U1273" s="46"/>
      <c r="V1273" s="46"/>
      <c r="W1273" s="46"/>
      <c r="X1273" s="46"/>
      <c r="Y1273" s="46"/>
      <c r="Z1273" s="46"/>
      <c r="AA1273" s="46"/>
    </row>
    <row r="1274">
      <c r="A1274" s="46"/>
      <c r="B1274" s="46"/>
      <c r="C1274" s="46"/>
      <c r="D1274" s="46"/>
      <c r="E1274" s="46"/>
      <c r="F1274" s="46"/>
      <c r="G1274" s="46"/>
      <c r="H1274" s="46"/>
      <c r="I1274" s="46"/>
      <c r="J1274" s="46"/>
      <c r="K1274" s="46"/>
      <c r="L1274" s="46"/>
      <c r="M1274" s="46"/>
      <c r="N1274" s="46"/>
      <c r="O1274" s="46"/>
      <c r="P1274" s="46"/>
      <c r="Q1274" s="46"/>
      <c r="R1274" s="46"/>
      <c r="S1274" s="46"/>
      <c r="T1274" s="46"/>
      <c r="U1274" s="46"/>
      <c r="V1274" s="46"/>
      <c r="W1274" s="46"/>
      <c r="X1274" s="46"/>
      <c r="Y1274" s="46"/>
      <c r="Z1274" s="46"/>
      <c r="AA1274" s="46"/>
    </row>
    <row r="1275">
      <c r="A1275" s="46"/>
      <c r="B1275" s="46"/>
      <c r="C1275" s="46"/>
      <c r="D1275" s="46"/>
      <c r="E1275" s="46"/>
      <c r="F1275" s="46"/>
      <c r="G1275" s="46"/>
      <c r="H1275" s="46"/>
      <c r="I1275" s="46"/>
      <c r="J1275" s="46"/>
      <c r="K1275" s="46"/>
      <c r="L1275" s="46"/>
      <c r="M1275" s="46"/>
      <c r="N1275" s="46"/>
      <c r="O1275" s="46"/>
      <c r="P1275" s="46"/>
      <c r="Q1275" s="46"/>
      <c r="R1275" s="46"/>
      <c r="S1275" s="46"/>
      <c r="T1275" s="46"/>
      <c r="U1275" s="46"/>
      <c r="V1275" s="46"/>
      <c r="W1275" s="46"/>
      <c r="X1275" s="46"/>
      <c r="Y1275" s="46"/>
      <c r="Z1275" s="46"/>
      <c r="AA1275" s="46"/>
    </row>
    <row r="1276">
      <c r="A1276" s="46"/>
      <c r="B1276" s="46"/>
      <c r="C1276" s="46"/>
      <c r="D1276" s="46"/>
      <c r="E1276" s="46"/>
      <c r="F1276" s="46"/>
      <c r="G1276" s="46"/>
      <c r="H1276" s="46"/>
      <c r="I1276" s="46"/>
      <c r="J1276" s="46"/>
      <c r="K1276" s="46"/>
      <c r="L1276" s="46"/>
      <c r="M1276" s="46"/>
      <c r="N1276" s="46"/>
      <c r="O1276" s="46"/>
      <c r="P1276" s="46"/>
      <c r="Q1276" s="46"/>
      <c r="R1276" s="46"/>
      <c r="S1276" s="46"/>
      <c r="T1276" s="46"/>
      <c r="U1276" s="46"/>
      <c r="V1276" s="46"/>
      <c r="W1276" s="46"/>
      <c r="X1276" s="46"/>
      <c r="Y1276" s="46"/>
      <c r="Z1276" s="46"/>
      <c r="AA1276" s="46"/>
    </row>
    <row r="1277">
      <c r="A1277" s="46"/>
      <c r="B1277" s="46"/>
      <c r="C1277" s="46"/>
      <c r="D1277" s="46"/>
      <c r="E1277" s="46"/>
      <c r="F1277" s="46"/>
      <c r="G1277" s="46"/>
      <c r="H1277" s="46"/>
      <c r="I1277" s="46"/>
      <c r="J1277" s="46"/>
      <c r="K1277" s="46"/>
      <c r="L1277" s="46"/>
      <c r="M1277" s="46"/>
      <c r="N1277" s="46"/>
      <c r="O1277" s="46"/>
      <c r="P1277" s="46"/>
      <c r="Q1277" s="46"/>
      <c r="R1277" s="46"/>
      <c r="S1277" s="46"/>
      <c r="T1277" s="46"/>
      <c r="U1277" s="46"/>
      <c r="V1277" s="46"/>
      <c r="W1277" s="46"/>
      <c r="X1277" s="46"/>
      <c r="Y1277" s="46"/>
      <c r="Z1277" s="46"/>
      <c r="AA1277" s="46"/>
    </row>
    <row r="1278">
      <c r="A1278" s="46"/>
      <c r="B1278" s="46"/>
      <c r="C1278" s="46"/>
      <c r="D1278" s="46"/>
      <c r="E1278" s="46"/>
      <c r="F1278" s="46"/>
      <c r="G1278" s="46"/>
      <c r="H1278" s="46"/>
      <c r="I1278" s="46"/>
      <c r="J1278" s="46"/>
      <c r="K1278" s="46"/>
      <c r="L1278" s="46"/>
      <c r="M1278" s="46"/>
      <c r="N1278" s="46"/>
      <c r="O1278" s="46"/>
      <c r="P1278" s="46"/>
      <c r="Q1278" s="46"/>
      <c r="R1278" s="46"/>
      <c r="S1278" s="46"/>
      <c r="T1278" s="46"/>
      <c r="U1278" s="46"/>
      <c r="V1278" s="46"/>
      <c r="W1278" s="46"/>
      <c r="X1278" s="46"/>
      <c r="Y1278" s="46"/>
      <c r="Z1278" s="46"/>
      <c r="AA1278" s="46"/>
    </row>
    <row r="1279">
      <c r="A1279" s="46"/>
      <c r="B1279" s="46"/>
      <c r="C1279" s="46"/>
      <c r="D1279" s="46"/>
      <c r="E1279" s="46"/>
      <c r="F1279" s="46"/>
      <c r="G1279" s="46"/>
      <c r="H1279" s="46"/>
      <c r="I1279" s="46"/>
      <c r="J1279" s="46"/>
      <c r="K1279" s="46"/>
      <c r="L1279" s="46"/>
      <c r="M1279" s="46"/>
      <c r="N1279" s="46"/>
      <c r="O1279" s="46"/>
      <c r="P1279" s="46"/>
      <c r="Q1279" s="46"/>
      <c r="R1279" s="46"/>
      <c r="S1279" s="46"/>
      <c r="T1279" s="46"/>
      <c r="U1279" s="46"/>
      <c r="V1279" s="46"/>
      <c r="W1279" s="46"/>
      <c r="X1279" s="46"/>
      <c r="Y1279" s="46"/>
      <c r="Z1279" s="46"/>
      <c r="AA1279" s="46"/>
    </row>
    <row r="1280">
      <c r="A1280" s="46"/>
      <c r="B1280" s="46"/>
      <c r="C1280" s="46"/>
      <c r="D1280" s="46"/>
      <c r="E1280" s="46"/>
      <c r="F1280" s="46"/>
      <c r="G1280" s="46"/>
      <c r="H1280" s="46"/>
      <c r="I1280" s="46"/>
      <c r="J1280" s="46"/>
      <c r="K1280" s="46"/>
      <c r="L1280" s="46"/>
      <c r="M1280" s="46"/>
      <c r="N1280" s="46"/>
      <c r="O1280" s="46"/>
      <c r="P1280" s="46"/>
      <c r="Q1280" s="46"/>
      <c r="R1280" s="46"/>
      <c r="S1280" s="46"/>
      <c r="T1280" s="46"/>
      <c r="U1280" s="46"/>
      <c r="V1280" s="46"/>
      <c r="W1280" s="46"/>
      <c r="X1280" s="46"/>
      <c r="Y1280" s="46"/>
      <c r="Z1280" s="46"/>
      <c r="AA1280" s="46"/>
    </row>
    <row r="1281">
      <c r="A1281" s="46"/>
      <c r="B1281" s="46"/>
      <c r="C1281" s="46"/>
      <c r="D1281" s="46"/>
      <c r="E1281" s="46"/>
      <c r="F1281" s="46"/>
      <c r="G1281" s="46"/>
      <c r="H1281" s="46"/>
      <c r="I1281" s="46"/>
      <c r="J1281" s="46"/>
      <c r="K1281" s="46"/>
      <c r="L1281" s="46"/>
      <c r="M1281" s="46"/>
      <c r="N1281" s="46"/>
      <c r="O1281" s="46"/>
      <c r="P1281" s="46"/>
      <c r="Q1281" s="46"/>
      <c r="R1281" s="46"/>
      <c r="S1281" s="46"/>
      <c r="T1281" s="46"/>
      <c r="U1281" s="46"/>
      <c r="V1281" s="46"/>
      <c r="W1281" s="46"/>
      <c r="X1281" s="46"/>
      <c r="Y1281" s="46"/>
      <c r="Z1281" s="46"/>
      <c r="AA1281" s="46"/>
    </row>
    <row r="1282">
      <c r="A1282" s="46"/>
      <c r="B1282" s="46"/>
      <c r="C1282" s="46"/>
      <c r="D1282" s="46"/>
      <c r="E1282" s="46"/>
      <c r="F1282" s="46"/>
      <c r="G1282" s="46"/>
      <c r="H1282" s="46"/>
      <c r="I1282" s="46"/>
      <c r="J1282" s="46"/>
      <c r="K1282" s="46"/>
      <c r="L1282" s="46"/>
      <c r="M1282" s="46"/>
      <c r="N1282" s="46"/>
      <c r="O1282" s="46"/>
      <c r="P1282" s="46"/>
      <c r="Q1282" s="46"/>
      <c r="R1282" s="46"/>
      <c r="S1282" s="46"/>
      <c r="T1282" s="46"/>
      <c r="U1282" s="46"/>
      <c r="V1282" s="46"/>
      <c r="W1282" s="46"/>
      <c r="X1282" s="46"/>
      <c r="Y1282" s="46"/>
      <c r="Z1282" s="46"/>
      <c r="AA1282" s="46"/>
    </row>
    <row r="1283">
      <c r="A1283" s="46"/>
      <c r="B1283" s="46"/>
      <c r="C1283" s="46"/>
      <c r="D1283" s="46"/>
      <c r="E1283" s="46"/>
      <c r="F1283" s="46"/>
      <c r="G1283" s="46"/>
      <c r="H1283" s="46"/>
      <c r="I1283" s="46"/>
      <c r="J1283" s="46"/>
      <c r="K1283" s="46"/>
      <c r="L1283" s="46"/>
      <c r="M1283" s="46"/>
      <c r="N1283" s="46"/>
      <c r="O1283" s="46"/>
      <c r="P1283" s="46"/>
      <c r="Q1283" s="46"/>
      <c r="R1283" s="46"/>
      <c r="S1283" s="46"/>
      <c r="T1283" s="46"/>
      <c r="U1283" s="46"/>
      <c r="V1283" s="46"/>
      <c r="W1283" s="46"/>
      <c r="X1283" s="46"/>
      <c r="Y1283" s="46"/>
      <c r="Z1283" s="46"/>
      <c r="AA1283" s="46"/>
    </row>
    <row r="1284">
      <c r="A1284" s="46"/>
      <c r="B1284" s="46"/>
      <c r="C1284" s="46"/>
      <c r="D1284" s="46"/>
      <c r="E1284" s="46"/>
      <c r="F1284" s="46"/>
      <c r="G1284" s="46"/>
      <c r="H1284" s="46"/>
      <c r="I1284" s="46"/>
      <c r="J1284" s="46"/>
      <c r="K1284" s="46"/>
      <c r="L1284" s="46"/>
      <c r="M1284" s="46"/>
      <c r="N1284" s="46"/>
      <c r="O1284" s="46"/>
      <c r="P1284" s="46"/>
      <c r="Q1284" s="46"/>
      <c r="R1284" s="46"/>
      <c r="S1284" s="46"/>
      <c r="T1284" s="46"/>
      <c r="U1284" s="46"/>
      <c r="V1284" s="46"/>
      <c r="W1284" s="46"/>
      <c r="X1284" s="46"/>
      <c r="Y1284" s="46"/>
      <c r="Z1284" s="46"/>
      <c r="AA1284" s="46"/>
    </row>
    <row r="1285">
      <c r="A1285" s="46"/>
      <c r="B1285" s="46"/>
      <c r="C1285" s="46"/>
      <c r="D1285" s="46"/>
      <c r="E1285" s="46"/>
      <c r="F1285" s="46"/>
      <c r="G1285" s="46"/>
      <c r="H1285" s="46"/>
      <c r="I1285" s="46"/>
      <c r="J1285" s="46"/>
      <c r="K1285" s="46"/>
      <c r="L1285" s="46"/>
      <c r="M1285" s="46"/>
      <c r="N1285" s="46"/>
      <c r="O1285" s="46"/>
      <c r="P1285" s="46"/>
      <c r="Q1285" s="46"/>
      <c r="R1285" s="46"/>
      <c r="S1285" s="46"/>
      <c r="T1285" s="46"/>
      <c r="U1285" s="46"/>
      <c r="V1285" s="46"/>
      <c r="W1285" s="46"/>
      <c r="X1285" s="46"/>
      <c r="Y1285" s="46"/>
      <c r="Z1285" s="46"/>
      <c r="AA1285" s="46"/>
    </row>
    <row r="1286">
      <c r="A1286" s="46"/>
      <c r="B1286" s="46"/>
      <c r="C1286" s="46"/>
      <c r="D1286" s="46"/>
      <c r="E1286" s="46"/>
      <c r="F1286" s="46"/>
      <c r="G1286" s="46"/>
      <c r="H1286" s="46"/>
      <c r="I1286" s="46"/>
      <c r="J1286" s="46"/>
      <c r="K1286" s="46"/>
      <c r="L1286" s="46"/>
      <c r="M1286" s="46"/>
      <c r="N1286" s="46"/>
      <c r="O1286" s="46"/>
      <c r="P1286" s="46"/>
      <c r="Q1286" s="46"/>
      <c r="R1286" s="46"/>
      <c r="S1286" s="46"/>
      <c r="T1286" s="46"/>
      <c r="U1286" s="46"/>
      <c r="V1286" s="46"/>
      <c r="W1286" s="46"/>
      <c r="X1286" s="46"/>
      <c r="Y1286" s="46"/>
      <c r="Z1286" s="46"/>
      <c r="AA1286" s="46"/>
    </row>
    <row r="1287">
      <c r="A1287" s="46"/>
      <c r="B1287" s="46"/>
      <c r="C1287" s="46"/>
      <c r="D1287" s="46"/>
      <c r="E1287" s="46"/>
      <c r="F1287" s="46"/>
      <c r="G1287" s="46"/>
      <c r="H1287" s="46"/>
      <c r="I1287" s="46"/>
      <c r="J1287" s="46"/>
      <c r="K1287" s="46"/>
      <c r="L1287" s="46"/>
      <c r="M1287" s="46"/>
      <c r="N1287" s="46"/>
      <c r="O1287" s="46"/>
      <c r="P1287" s="46"/>
      <c r="Q1287" s="46"/>
      <c r="R1287" s="46"/>
      <c r="S1287" s="46"/>
      <c r="T1287" s="46"/>
      <c r="U1287" s="46"/>
      <c r="V1287" s="46"/>
      <c r="W1287" s="46"/>
      <c r="X1287" s="46"/>
      <c r="Y1287" s="46"/>
      <c r="Z1287" s="46"/>
      <c r="AA1287" s="46"/>
    </row>
    <row r="1288">
      <c r="A1288" s="46"/>
      <c r="B1288" s="46"/>
      <c r="C1288" s="46"/>
      <c r="D1288" s="46"/>
      <c r="E1288" s="46"/>
      <c r="F1288" s="46"/>
      <c r="G1288" s="46"/>
      <c r="H1288" s="46"/>
      <c r="I1288" s="46"/>
      <c r="J1288" s="46"/>
      <c r="K1288" s="46"/>
      <c r="L1288" s="46"/>
      <c r="M1288" s="46"/>
      <c r="N1288" s="46"/>
      <c r="O1288" s="46"/>
      <c r="P1288" s="46"/>
      <c r="Q1288" s="46"/>
      <c r="R1288" s="46"/>
      <c r="S1288" s="46"/>
      <c r="T1288" s="46"/>
      <c r="U1288" s="46"/>
      <c r="V1288" s="46"/>
      <c r="W1288" s="46"/>
      <c r="X1288" s="46"/>
      <c r="Y1288" s="46"/>
      <c r="Z1288" s="46"/>
      <c r="AA1288" s="46"/>
    </row>
    <row r="1289">
      <c r="A1289" s="46"/>
      <c r="B1289" s="46"/>
      <c r="C1289" s="46"/>
      <c r="D1289" s="46"/>
      <c r="E1289" s="46"/>
      <c r="F1289" s="46"/>
      <c r="G1289" s="46"/>
      <c r="H1289" s="46"/>
      <c r="I1289" s="46"/>
      <c r="J1289" s="46"/>
      <c r="K1289" s="46"/>
      <c r="L1289" s="46"/>
      <c r="M1289" s="46"/>
      <c r="N1289" s="46"/>
      <c r="O1289" s="46"/>
      <c r="P1289" s="46"/>
      <c r="Q1289" s="46"/>
      <c r="R1289" s="46"/>
      <c r="S1289" s="46"/>
      <c r="T1289" s="46"/>
      <c r="U1289" s="46"/>
      <c r="V1289" s="46"/>
      <c r="W1289" s="46"/>
      <c r="X1289" s="46"/>
      <c r="Y1289" s="46"/>
      <c r="Z1289" s="46"/>
      <c r="AA1289" s="46"/>
    </row>
    <row r="1290">
      <c r="A1290" s="46"/>
      <c r="B1290" s="46"/>
      <c r="C1290" s="46"/>
      <c r="D1290" s="46"/>
      <c r="E1290" s="46"/>
      <c r="F1290" s="46"/>
      <c r="G1290" s="46"/>
      <c r="H1290" s="46"/>
      <c r="I1290" s="46"/>
      <c r="J1290" s="46"/>
      <c r="K1290" s="46"/>
      <c r="L1290" s="46"/>
      <c r="M1290" s="46"/>
      <c r="N1290" s="46"/>
      <c r="O1290" s="46"/>
      <c r="P1290" s="46"/>
      <c r="Q1290" s="46"/>
      <c r="R1290" s="46"/>
      <c r="S1290" s="46"/>
      <c r="T1290" s="46"/>
      <c r="U1290" s="46"/>
      <c r="V1290" s="46"/>
      <c r="W1290" s="46"/>
      <c r="X1290" s="46"/>
      <c r="Y1290" s="46"/>
      <c r="Z1290" s="46"/>
      <c r="AA1290" s="46"/>
    </row>
    <row r="1291">
      <c r="A1291" s="46"/>
      <c r="B1291" s="46"/>
      <c r="C1291" s="46"/>
      <c r="D1291" s="46"/>
      <c r="E1291" s="46"/>
      <c r="F1291" s="46"/>
      <c r="G1291" s="46"/>
      <c r="H1291" s="46"/>
      <c r="I1291" s="46"/>
      <c r="J1291" s="46"/>
      <c r="K1291" s="46"/>
      <c r="L1291" s="46"/>
      <c r="M1291" s="46"/>
      <c r="N1291" s="46"/>
      <c r="O1291" s="46"/>
      <c r="P1291" s="46"/>
      <c r="Q1291" s="46"/>
      <c r="R1291" s="46"/>
      <c r="S1291" s="46"/>
      <c r="T1291" s="46"/>
      <c r="U1291" s="46"/>
      <c r="V1291" s="46"/>
      <c r="W1291" s="46"/>
      <c r="X1291" s="46"/>
      <c r="Y1291" s="46"/>
      <c r="Z1291" s="46"/>
      <c r="AA1291" s="46"/>
    </row>
    <row r="1292">
      <c r="A1292" s="46"/>
      <c r="B1292" s="46"/>
      <c r="C1292" s="46"/>
      <c r="D1292" s="46"/>
      <c r="E1292" s="46"/>
      <c r="F1292" s="46"/>
      <c r="G1292" s="46"/>
      <c r="H1292" s="46"/>
      <c r="I1292" s="46"/>
      <c r="J1292" s="46"/>
      <c r="K1292" s="46"/>
      <c r="L1292" s="46"/>
      <c r="M1292" s="46"/>
      <c r="N1292" s="46"/>
      <c r="O1292" s="46"/>
      <c r="P1292" s="46"/>
      <c r="Q1292" s="46"/>
      <c r="R1292" s="46"/>
      <c r="S1292" s="46"/>
      <c r="T1292" s="46"/>
      <c r="U1292" s="46"/>
      <c r="V1292" s="46"/>
      <c r="W1292" s="46"/>
      <c r="X1292" s="46"/>
      <c r="Y1292" s="46"/>
      <c r="Z1292" s="46"/>
      <c r="AA1292" s="46"/>
    </row>
    <row r="1293">
      <c r="A1293" s="46"/>
      <c r="B1293" s="46"/>
      <c r="C1293" s="46"/>
      <c r="D1293" s="46"/>
      <c r="E1293" s="46"/>
      <c r="F1293" s="46"/>
      <c r="G1293" s="46"/>
      <c r="H1293" s="46"/>
      <c r="I1293" s="46"/>
      <c r="J1293" s="46"/>
      <c r="K1293" s="46"/>
      <c r="L1293" s="46"/>
      <c r="M1293" s="46"/>
      <c r="N1293" s="46"/>
      <c r="O1293" s="46"/>
      <c r="P1293" s="46"/>
      <c r="Q1293" s="46"/>
      <c r="R1293" s="46"/>
      <c r="S1293" s="46"/>
      <c r="T1293" s="46"/>
      <c r="U1293" s="46"/>
      <c r="V1293" s="46"/>
      <c r="W1293" s="46"/>
      <c r="X1293" s="46"/>
      <c r="Y1293" s="46"/>
      <c r="Z1293" s="46"/>
      <c r="AA1293" s="46"/>
    </row>
    <row r="1294">
      <c r="A1294" s="46"/>
      <c r="B1294" s="46"/>
      <c r="C1294" s="46"/>
      <c r="D1294" s="46"/>
      <c r="E1294" s="46"/>
      <c r="F1294" s="46"/>
      <c r="G1294" s="46"/>
      <c r="H1294" s="46"/>
      <c r="I1294" s="46"/>
      <c r="J1294" s="46"/>
      <c r="K1294" s="46"/>
      <c r="L1294" s="46"/>
      <c r="M1294" s="46"/>
      <c r="N1294" s="46"/>
      <c r="O1294" s="46"/>
      <c r="P1294" s="46"/>
      <c r="Q1294" s="46"/>
      <c r="R1294" s="46"/>
      <c r="S1294" s="46"/>
      <c r="T1294" s="46"/>
      <c r="U1294" s="46"/>
      <c r="V1294" s="46"/>
      <c r="W1294" s="46"/>
      <c r="X1294" s="46"/>
      <c r="Y1294" s="46"/>
      <c r="Z1294" s="46"/>
      <c r="AA1294" s="46"/>
    </row>
    <row r="1295">
      <c r="A1295" s="46"/>
      <c r="B1295" s="46"/>
      <c r="C1295" s="46"/>
      <c r="D1295" s="46"/>
      <c r="E1295" s="46"/>
      <c r="F1295" s="46"/>
      <c r="G1295" s="46"/>
      <c r="H1295" s="46"/>
      <c r="I1295" s="46"/>
      <c r="J1295" s="46"/>
      <c r="K1295" s="46"/>
      <c r="L1295" s="46"/>
      <c r="M1295" s="46"/>
      <c r="N1295" s="46"/>
      <c r="O1295" s="46"/>
      <c r="P1295" s="46"/>
      <c r="Q1295" s="46"/>
      <c r="R1295" s="46"/>
      <c r="S1295" s="46"/>
      <c r="T1295" s="46"/>
      <c r="U1295" s="46"/>
      <c r="V1295" s="46"/>
      <c r="W1295" s="46"/>
      <c r="X1295" s="46"/>
      <c r="Y1295" s="46"/>
      <c r="Z1295" s="46"/>
      <c r="AA1295" s="46"/>
    </row>
    <row r="1296">
      <c r="A1296" s="46"/>
      <c r="B1296" s="46"/>
      <c r="C1296" s="46"/>
      <c r="D1296" s="46"/>
      <c r="E1296" s="46"/>
      <c r="F1296" s="46"/>
      <c r="G1296" s="46"/>
      <c r="H1296" s="46"/>
      <c r="I1296" s="46"/>
      <c r="J1296" s="46"/>
      <c r="K1296" s="46"/>
      <c r="L1296" s="46"/>
      <c r="M1296" s="46"/>
      <c r="N1296" s="46"/>
      <c r="O1296" s="46"/>
      <c r="P1296" s="46"/>
      <c r="Q1296" s="46"/>
      <c r="R1296" s="46"/>
      <c r="S1296" s="46"/>
      <c r="T1296" s="46"/>
      <c r="U1296" s="46"/>
      <c r="V1296" s="46"/>
      <c r="W1296" s="46"/>
      <c r="X1296" s="46"/>
      <c r="Y1296" s="46"/>
      <c r="Z1296" s="46"/>
      <c r="AA1296" s="46"/>
    </row>
    <row r="1297">
      <c r="A1297" s="46"/>
      <c r="B1297" s="46"/>
      <c r="C1297" s="46"/>
      <c r="D1297" s="46"/>
      <c r="E1297" s="46"/>
      <c r="F1297" s="46"/>
      <c r="G1297" s="46"/>
      <c r="H1297" s="46"/>
      <c r="I1297" s="46"/>
      <c r="J1297" s="46"/>
      <c r="K1297" s="46"/>
      <c r="L1297" s="46"/>
      <c r="M1297" s="46"/>
      <c r="N1297" s="46"/>
      <c r="O1297" s="46"/>
      <c r="P1297" s="46"/>
      <c r="Q1297" s="46"/>
      <c r="R1297" s="46"/>
      <c r="S1297" s="46"/>
      <c r="T1297" s="46"/>
      <c r="U1297" s="46"/>
      <c r="V1297" s="46"/>
      <c r="W1297" s="46"/>
      <c r="X1297" s="46"/>
      <c r="Y1297" s="46"/>
      <c r="Z1297" s="46"/>
      <c r="AA1297" s="46"/>
    </row>
    <row r="1298">
      <c r="A1298" s="46"/>
      <c r="B1298" s="46"/>
      <c r="C1298" s="46"/>
      <c r="D1298" s="46"/>
      <c r="E1298" s="46"/>
      <c r="F1298" s="46"/>
      <c r="G1298" s="46"/>
      <c r="H1298" s="46"/>
      <c r="I1298" s="46"/>
      <c r="J1298" s="46"/>
      <c r="K1298" s="46"/>
      <c r="L1298" s="46"/>
      <c r="M1298" s="46"/>
      <c r="N1298" s="46"/>
      <c r="O1298" s="46"/>
      <c r="P1298" s="46"/>
      <c r="Q1298" s="46"/>
      <c r="R1298" s="46"/>
      <c r="S1298" s="46"/>
      <c r="T1298" s="46"/>
      <c r="U1298" s="46"/>
      <c r="V1298" s="46"/>
      <c r="W1298" s="46"/>
      <c r="X1298" s="46"/>
      <c r="Y1298" s="46"/>
      <c r="Z1298" s="46"/>
      <c r="AA1298" s="46"/>
    </row>
    <row r="1299">
      <c r="A1299" s="46"/>
      <c r="B1299" s="46"/>
      <c r="C1299" s="46"/>
      <c r="D1299" s="46"/>
      <c r="E1299" s="46"/>
      <c r="F1299" s="46"/>
      <c r="G1299" s="46"/>
      <c r="H1299" s="46"/>
      <c r="I1299" s="46"/>
      <c r="J1299" s="46"/>
      <c r="K1299" s="46"/>
      <c r="L1299" s="46"/>
      <c r="M1299" s="46"/>
      <c r="N1299" s="46"/>
      <c r="O1299" s="46"/>
      <c r="P1299" s="46"/>
      <c r="Q1299" s="46"/>
      <c r="R1299" s="46"/>
      <c r="S1299" s="46"/>
      <c r="T1299" s="46"/>
      <c r="U1299" s="46"/>
      <c r="V1299" s="46"/>
      <c r="W1299" s="46"/>
      <c r="X1299" s="46"/>
      <c r="Y1299" s="46"/>
      <c r="Z1299" s="46"/>
      <c r="AA1299" s="46"/>
    </row>
    <row r="1300">
      <c r="A1300" s="46"/>
      <c r="B1300" s="46"/>
      <c r="C1300" s="46"/>
      <c r="D1300" s="46"/>
      <c r="E1300" s="46"/>
      <c r="F1300" s="46"/>
      <c r="G1300" s="46"/>
      <c r="H1300" s="46"/>
      <c r="I1300" s="46"/>
      <c r="J1300" s="46"/>
      <c r="K1300" s="46"/>
      <c r="L1300" s="46"/>
      <c r="M1300" s="46"/>
      <c r="N1300" s="46"/>
      <c r="O1300" s="46"/>
      <c r="P1300" s="46"/>
      <c r="Q1300" s="46"/>
      <c r="R1300" s="46"/>
      <c r="S1300" s="46"/>
      <c r="T1300" s="46"/>
      <c r="U1300" s="46"/>
      <c r="V1300" s="46"/>
      <c r="W1300" s="46"/>
      <c r="X1300" s="46"/>
      <c r="Y1300" s="46"/>
      <c r="Z1300" s="46"/>
      <c r="AA1300" s="46"/>
    </row>
    <row r="1301">
      <c r="A1301" s="46"/>
      <c r="B1301" s="46"/>
      <c r="C1301" s="46"/>
      <c r="D1301" s="46"/>
      <c r="E1301" s="46"/>
      <c r="F1301" s="46"/>
      <c r="G1301" s="46"/>
      <c r="H1301" s="46"/>
      <c r="I1301" s="46"/>
      <c r="J1301" s="46"/>
      <c r="K1301" s="46"/>
      <c r="L1301" s="46"/>
      <c r="M1301" s="46"/>
      <c r="N1301" s="46"/>
      <c r="O1301" s="46"/>
      <c r="P1301" s="46"/>
      <c r="Q1301" s="46"/>
      <c r="R1301" s="46"/>
      <c r="S1301" s="46"/>
      <c r="T1301" s="46"/>
      <c r="U1301" s="46"/>
      <c r="V1301" s="46"/>
      <c r="W1301" s="46"/>
      <c r="X1301" s="46"/>
      <c r="Y1301" s="46"/>
      <c r="Z1301" s="46"/>
      <c r="AA1301" s="46"/>
    </row>
    <row r="1302">
      <c r="A1302" s="46"/>
      <c r="B1302" s="46"/>
      <c r="C1302" s="46"/>
      <c r="D1302" s="46"/>
      <c r="E1302" s="46"/>
      <c r="F1302" s="46"/>
      <c r="G1302" s="46"/>
      <c r="H1302" s="46"/>
      <c r="I1302" s="46"/>
      <c r="J1302" s="46"/>
      <c r="K1302" s="46"/>
      <c r="L1302" s="46"/>
      <c r="M1302" s="46"/>
      <c r="N1302" s="46"/>
      <c r="O1302" s="46"/>
      <c r="P1302" s="46"/>
      <c r="Q1302" s="46"/>
      <c r="R1302" s="46"/>
      <c r="S1302" s="46"/>
      <c r="T1302" s="46"/>
      <c r="U1302" s="46"/>
      <c r="V1302" s="46"/>
      <c r="W1302" s="46"/>
      <c r="X1302" s="46"/>
      <c r="Y1302" s="46"/>
      <c r="Z1302" s="46"/>
      <c r="AA1302" s="46"/>
    </row>
    <row r="1303">
      <c r="A1303" s="46"/>
      <c r="B1303" s="46"/>
      <c r="C1303" s="46"/>
      <c r="D1303" s="46"/>
      <c r="E1303" s="46"/>
      <c r="F1303" s="46"/>
      <c r="G1303" s="46"/>
      <c r="H1303" s="46"/>
      <c r="I1303" s="46"/>
      <c r="J1303" s="46"/>
      <c r="K1303" s="46"/>
      <c r="L1303" s="46"/>
      <c r="M1303" s="46"/>
      <c r="N1303" s="46"/>
      <c r="O1303" s="46"/>
      <c r="P1303" s="46"/>
      <c r="Q1303" s="46"/>
      <c r="R1303" s="46"/>
      <c r="S1303" s="46"/>
      <c r="T1303" s="46"/>
      <c r="U1303" s="46"/>
      <c r="V1303" s="46"/>
      <c r="W1303" s="46"/>
      <c r="X1303" s="46"/>
      <c r="Y1303" s="46"/>
      <c r="Z1303" s="46"/>
      <c r="AA1303" s="46"/>
    </row>
    <row r="1304">
      <c r="A1304" s="46"/>
      <c r="B1304" s="46"/>
      <c r="C1304" s="46"/>
      <c r="D1304" s="46"/>
      <c r="E1304" s="46"/>
      <c r="F1304" s="46"/>
      <c r="G1304" s="46"/>
      <c r="H1304" s="46"/>
      <c r="I1304" s="46"/>
      <c r="J1304" s="46"/>
      <c r="K1304" s="46"/>
      <c r="L1304" s="46"/>
      <c r="M1304" s="46"/>
      <c r="N1304" s="46"/>
      <c r="O1304" s="46"/>
      <c r="P1304" s="46"/>
      <c r="Q1304" s="46"/>
      <c r="R1304" s="46"/>
      <c r="S1304" s="46"/>
      <c r="T1304" s="46"/>
      <c r="U1304" s="46"/>
      <c r="V1304" s="46"/>
      <c r="W1304" s="46"/>
      <c r="X1304" s="46"/>
      <c r="Y1304" s="46"/>
      <c r="Z1304" s="46"/>
      <c r="AA1304" s="46"/>
    </row>
    <row r="1305">
      <c r="A1305" s="46"/>
      <c r="B1305" s="46"/>
      <c r="C1305" s="46"/>
      <c r="D1305" s="46"/>
      <c r="E1305" s="46"/>
      <c r="F1305" s="46"/>
      <c r="G1305" s="46"/>
      <c r="H1305" s="46"/>
      <c r="I1305" s="46"/>
      <c r="J1305" s="46"/>
      <c r="K1305" s="46"/>
      <c r="L1305" s="46"/>
      <c r="M1305" s="46"/>
      <c r="N1305" s="46"/>
      <c r="O1305" s="46"/>
      <c r="P1305" s="46"/>
      <c r="Q1305" s="46"/>
      <c r="R1305" s="46"/>
      <c r="S1305" s="46"/>
      <c r="T1305" s="46"/>
      <c r="U1305" s="46"/>
      <c r="V1305" s="46"/>
      <c r="W1305" s="46"/>
      <c r="X1305" s="46"/>
      <c r="Y1305" s="46"/>
      <c r="Z1305" s="46"/>
      <c r="AA1305" s="46"/>
    </row>
    <row r="1306">
      <c r="A1306" s="46"/>
      <c r="B1306" s="46"/>
      <c r="C1306" s="46"/>
      <c r="D1306" s="46"/>
      <c r="E1306" s="46"/>
      <c r="F1306" s="46"/>
      <c r="G1306" s="46"/>
      <c r="H1306" s="46"/>
      <c r="I1306" s="46"/>
      <c r="J1306" s="46"/>
      <c r="K1306" s="46"/>
      <c r="L1306" s="46"/>
      <c r="M1306" s="46"/>
      <c r="N1306" s="46"/>
      <c r="O1306" s="46"/>
      <c r="P1306" s="46"/>
      <c r="Q1306" s="46"/>
      <c r="R1306" s="46"/>
      <c r="S1306" s="46"/>
      <c r="T1306" s="46"/>
      <c r="U1306" s="46"/>
      <c r="V1306" s="46"/>
      <c r="W1306" s="46"/>
      <c r="X1306" s="46"/>
      <c r="Y1306" s="46"/>
      <c r="Z1306" s="46"/>
      <c r="AA1306" s="46"/>
    </row>
    <row r="1307">
      <c r="A1307" s="46"/>
      <c r="B1307" s="46"/>
      <c r="C1307" s="46"/>
      <c r="D1307" s="46"/>
      <c r="E1307" s="46"/>
      <c r="F1307" s="46"/>
      <c r="G1307" s="46"/>
      <c r="H1307" s="46"/>
      <c r="I1307" s="46"/>
      <c r="J1307" s="46"/>
      <c r="K1307" s="46"/>
      <c r="L1307" s="46"/>
      <c r="M1307" s="46"/>
      <c r="N1307" s="46"/>
      <c r="O1307" s="46"/>
      <c r="P1307" s="46"/>
      <c r="Q1307" s="46"/>
      <c r="R1307" s="46"/>
      <c r="S1307" s="46"/>
      <c r="T1307" s="46"/>
      <c r="U1307" s="46"/>
      <c r="V1307" s="46"/>
      <c r="W1307" s="46"/>
      <c r="X1307" s="46"/>
      <c r="Y1307" s="46"/>
      <c r="Z1307" s="46"/>
      <c r="AA1307" s="46"/>
    </row>
    <row r="1308">
      <c r="A1308" s="46"/>
      <c r="B1308" s="46"/>
      <c r="C1308" s="46"/>
      <c r="D1308" s="46"/>
      <c r="E1308" s="46"/>
      <c r="F1308" s="46"/>
      <c r="G1308" s="46"/>
      <c r="H1308" s="46"/>
      <c r="I1308" s="46"/>
      <c r="J1308" s="46"/>
      <c r="K1308" s="46"/>
      <c r="L1308" s="46"/>
      <c r="M1308" s="46"/>
      <c r="N1308" s="46"/>
      <c r="O1308" s="46"/>
      <c r="P1308" s="46"/>
      <c r="Q1308" s="46"/>
      <c r="R1308" s="46"/>
      <c r="S1308" s="46"/>
      <c r="T1308" s="46"/>
      <c r="U1308" s="46"/>
      <c r="V1308" s="46"/>
      <c r="W1308" s="46"/>
      <c r="X1308" s="46"/>
      <c r="Y1308" s="46"/>
      <c r="Z1308" s="46"/>
      <c r="AA1308" s="46"/>
    </row>
    <row r="1309">
      <c r="A1309" s="46"/>
      <c r="B1309" s="46"/>
      <c r="C1309" s="46"/>
      <c r="D1309" s="46"/>
      <c r="E1309" s="46"/>
      <c r="F1309" s="46"/>
      <c r="G1309" s="46"/>
      <c r="H1309" s="46"/>
      <c r="I1309" s="46"/>
      <c r="J1309" s="46"/>
      <c r="K1309" s="46"/>
      <c r="L1309" s="46"/>
      <c r="M1309" s="46"/>
      <c r="N1309" s="46"/>
      <c r="O1309" s="46"/>
      <c r="P1309" s="46"/>
      <c r="Q1309" s="46"/>
      <c r="R1309" s="46"/>
      <c r="S1309" s="46"/>
      <c r="T1309" s="46"/>
      <c r="U1309" s="46"/>
      <c r="V1309" s="46"/>
      <c r="W1309" s="46"/>
      <c r="X1309" s="46"/>
      <c r="Y1309" s="46"/>
      <c r="Z1309" s="46"/>
      <c r="AA1309" s="46"/>
    </row>
    <row r="1310">
      <c r="A1310" s="46"/>
      <c r="B1310" s="46"/>
      <c r="C1310" s="46"/>
      <c r="D1310" s="46"/>
      <c r="E1310" s="46"/>
      <c r="F1310" s="46"/>
      <c r="G1310" s="46"/>
      <c r="H1310" s="46"/>
      <c r="I1310" s="46"/>
      <c r="J1310" s="46"/>
      <c r="K1310" s="46"/>
      <c r="L1310" s="46"/>
      <c r="M1310" s="46"/>
      <c r="N1310" s="46"/>
      <c r="O1310" s="46"/>
      <c r="P1310" s="46"/>
      <c r="Q1310" s="46"/>
      <c r="R1310" s="46"/>
      <c r="S1310" s="46"/>
      <c r="T1310" s="46"/>
      <c r="U1310" s="46"/>
      <c r="V1310" s="46"/>
      <c r="W1310" s="46"/>
      <c r="X1310" s="46"/>
      <c r="Y1310" s="46"/>
      <c r="Z1310" s="46"/>
      <c r="AA1310" s="46"/>
    </row>
    <row r="1311">
      <c r="A1311" s="46"/>
      <c r="B1311" s="46"/>
      <c r="C1311" s="46"/>
      <c r="D1311" s="46"/>
      <c r="E1311" s="46"/>
      <c r="F1311" s="46"/>
      <c r="G1311" s="46"/>
      <c r="H1311" s="46"/>
      <c r="I1311" s="46"/>
      <c r="J1311" s="46"/>
      <c r="K1311" s="46"/>
      <c r="L1311" s="46"/>
      <c r="M1311" s="46"/>
      <c r="N1311" s="46"/>
      <c r="O1311" s="46"/>
      <c r="P1311" s="46"/>
      <c r="Q1311" s="46"/>
      <c r="R1311" s="46"/>
      <c r="S1311" s="46"/>
      <c r="T1311" s="46"/>
      <c r="U1311" s="46"/>
      <c r="V1311" s="46"/>
      <c r="W1311" s="46"/>
      <c r="X1311" s="46"/>
      <c r="Y1311" s="46"/>
      <c r="Z1311" s="46"/>
      <c r="AA1311" s="46"/>
    </row>
    <row r="1312">
      <c r="A1312" s="46"/>
      <c r="B1312" s="46"/>
      <c r="C1312" s="46"/>
      <c r="D1312" s="46"/>
      <c r="E1312" s="46"/>
      <c r="F1312" s="46"/>
      <c r="G1312" s="46"/>
      <c r="H1312" s="46"/>
      <c r="I1312" s="46"/>
      <c r="J1312" s="46"/>
      <c r="K1312" s="46"/>
      <c r="L1312" s="46"/>
      <c r="M1312" s="46"/>
      <c r="N1312" s="46"/>
      <c r="O1312" s="46"/>
      <c r="P1312" s="46"/>
      <c r="Q1312" s="46"/>
      <c r="R1312" s="46"/>
      <c r="S1312" s="46"/>
      <c r="T1312" s="46"/>
      <c r="U1312" s="46"/>
      <c r="V1312" s="46"/>
      <c r="W1312" s="46"/>
      <c r="X1312" s="46"/>
      <c r="Y1312" s="46"/>
      <c r="Z1312" s="46"/>
      <c r="AA1312" s="46"/>
    </row>
    <row r="1313">
      <c r="A1313" s="46"/>
      <c r="B1313" s="46"/>
      <c r="C1313" s="46"/>
      <c r="D1313" s="46"/>
      <c r="E1313" s="46"/>
      <c r="F1313" s="46"/>
      <c r="G1313" s="46"/>
      <c r="H1313" s="46"/>
      <c r="I1313" s="46"/>
      <c r="J1313" s="46"/>
      <c r="K1313" s="46"/>
      <c r="L1313" s="46"/>
      <c r="M1313" s="46"/>
      <c r="N1313" s="46"/>
      <c r="O1313" s="46"/>
      <c r="P1313" s="46"/>
      <c r="Q1313" s="46"/>
      <c r="R1313" s="46"/>
      <c r="S1313" s="46"/>
      <c r="T1313" s="46"/>
      <c r="U1313" s="46"/>
      <c r="V1313" s="46"/>
      <c r="W1313" s="46"/>
      <c r="X1313" s="46"/>
      <c r="Y1313" s="46"/>
      <c r="Z1313" s="46"/>
      <c r="AA1313" s="46"/>
    </row>
    <row r="1314">
      <c r="A1314" s="46"/>
      <c r="B1314" s="46"/>
      <c r="C1314" s="46"/>
      <c r="D1314" s="46"/>
      <c r="E1314" s="46"/>
      <c r="F1314" s="46"/>
      <c r="G1314" s="46"/>
      <c r="H1314" s="46"/>
      <c r="I1314" s="46"/>
      <c r="J1314" s="46"/>
      <c r="K1314" s="46"/>
      <c r="L1314" s="46"/>
      <c r="M1314" s="46"/>
      <c r="N1314" s="46"/>
      <c r="O1314" s="46"/>
      <c r="P1314" s="46"/>
      <c r="Q1314" s="46"/>
      <c r="R1314" s="46"/>
      <c r="S1314" s="46"/>
      <c r="T1314" s="46"/>
      <c r="U1314" s="46"/>
      <c r="V1314" s="46"/>
      <c r="W1314" s="46"/>
      <c r="X1314" s="46"/>
      <c r="Y1314" s="46"/>
      <c r="Z1314" s="46"/>
      <c r="AA1314" s="46"/>
    </row>
    <row r="1315">
      <c r="A1315" s="46"/>
      <c r="B1315" s="46"/>
      <c r="C1315" s="46"/>
      <c r="D1315" s="46"/>
      <c r="E1315" s="46"/>
      <c r="F1315" s="46"/>
      <c r="G1315" s="46"/>
      <c r="H1315" s="46"/>
      <c r="I1315" s="46"/>
      <c r="J1315" s="46"/>
      <c r="K1315" s="46"/>
      <c r="L1315" s="46"/>
      <c r="M1315" s="46"/>
      <c r="N1315" s="46"/>
      <c r="O1315" s="46"/>
      <c r="P1315" s="46"/>
      <c r="Q1315" s="46"/>
      <c r="R1315" s="46"/>
      <c r="S1315" s="46"/>
      <c r="T1315" s="46"/>
      <c r="U1315" s="46"/>
      <c r="V1315" s="46"/>
      <c r="W1315" s="46"/>
      <c r="X1315" s="46"/>
      <c r="Y1315" s="46"/>
      <c r="Z1315" s="46"/>
      <c r="AA1315" s="46"/>
    </row>
    <row r="1316">
      <c r="A1316" s="46"/>
      <c r="B1316" s="46"/>
      <c r="C1316" s="46"/>
      <c r="D1316" s="46"/>
      <c r="E1316" s="46"/>
      <c r="F1316" s="46"/>
      <c r="G1316" s="46"/>
      <c r="H1316" s="46"/>
      <c r="I1316" s="46"/>
      <c r="J1316" s="46"/>
      <c r="K1316" s="46"/>
      <c r="L1316" s="46"/>
      <c r="M1316" s="46"/>
      <c r="N1316" s="46"/>
      <c r="O1316" s="46"/>
      <c r="P1316" s="46"/>
      <c r="Q1316" s="46"/>
      <c r="R1316" s="46"/>
      <c r="S1316" s="46"/>
      <c r="T1316" s="46"/>
      <c r="U1316" s="46"/>
      <c r="V1316" s="46"/>
      <c r="W1316" s="46"/>
      <c r="X1316" s="46"/>
      <c r="Y1316" s="46"/>
      <c r="Z1316" s="46"/>
      <c r="AA1316" s="46"/>
    </row>
    <row r="1317">
      <c r="A1317" s="46"/>
      <c r="B1317" s="46"/>
      <c r="C1317" s="46"/>
      <c r="D1317" s="46"/>
      <c r="E1317" s="46"/>
      <c r="F1317" s="46"/>
      <c r="G1317" s="46"/>
      <c r="H1317" s="46"/>
      <c r="I1317" s="46"/>
      <c r="J1317" s="46"/>
      <c r="K1317" s="46"/>
      <c r="L1317" s="46"/>
      <c r="M1317" s="46"/>
      <c r="N1317" s="46"/>
      <c r="O1317" s="46"/>
      <c r="P1317" s="46"/>
      <c r="Q1317" s="46"/>
      <c r="R1317" s="46"/>
      <c r="S1317" s="46"/>
      <c r="T1317" s="46"/>
      <c r="U1317" s="46"/>
      <c r="V1317" s="46"/>
      <c r="W1317" s="46"/>
      <c r="X1317" s="46"/>
      <c r="Y1317" s="46"/>
      <c r="Z1317" s="46"/>
      <c r="AA1317" s="46"/>
    </row>
    <row r="1318">
      <c r="A1318" s="46"/>
      <c r="B1318" s="46"/>
      <c r="C1318" s="46"/>
      <c r="D1318" s="46"/>
      <c r="E1318" s="46"/>
      <c r="F1318" s="46"/>
      <c r="G1318" s="46"/>
      <c r="H1318" s="46"/>
      <c r="I1318" s="46"/>
      <c r="J1318" s="46"/>
      <c r="K1318" s="46"/>
      <c r="L1318" s="46"/>
      <c r="M1318" s="46"/>
      <c r="N1318" s="46"/>
      <c r="O1318" s="46"/>
      <c r="P1318" s="46"/>
      <c r="Q1318" s="46"/>
      <c r="R1318" s="46"/>
      <c r="S1318" s="46"/>
      <c r="T1318" s="46"/>
      <c r="U1318" s="46"/>
      <c r="V1318" s="46"/>
      <c r="W1318" s="46"/>
      <c r="X1318" s="46"/>
      <c r="Y1318" s="46"/>
      <c r="Z1318" s="46"/>
      <c r="AA1318" s="46"/>
    </row>
    <row r="1319">
      <c r="A1319" s="46"/>
      <c r="B1319" s="46"/>
      <c r="C1319" s="46"/>
      <c r="D1319" s="46"/>
      <c r="E1319" s="46"/>
      <c r="F1319" s="46"/>
      <c r="G1319" s="46"/>
      <c r="H1319" s="46"/>
      <c r="I1319" s="46"/>
      <c r="J1319" s="46"/>
      <c r="K1319" s="46"/>
      <c r="L1319" s="46"/>
      <c r="M1319" s="46"/>
      <c r="N1319" s="46"/>
      <c r="O1319" s="46"/>
      <c r="P1319" s="46"/>
      <c r="Q1319" s="46"/>
      <c r="R1319" s="46"/>
      <c r="S1319" s="46"/>
      <c r="T1319" s="46"/>
      <c r="U1319" s="46"/>
      <c r="V1319" s="46"/>
      <c r="W1319" s="46"/>
      <c r="X1319" s="46"/>
      <c r="Y1319" s="46"/>
      <c r="Z1319" s="46"/>
      <c r="AA1319" s="46"/>
    </row>
    <row r="1320">
      <c r="A1320" s="46"/>
      <c r="B1320" s="46"/>
      <c r="C1320" s="46"/>
      <c r="D1320" s="46"/>
      <c r="E1320" s="46"/>
      <c r="F1320" s="46"/>
      <c r="G1320" s="46"/>
      <c r="H1320" s="46"/>
      <c r="I1320" s="46"/>
      <c r="J1320" s="46"/>
      <c r="K1320" s="46"/>
      <c r="L1320" s="46"/>
      <c r="M1320" s="46"/>
      <c r="N1320" s="46"/>
      <c r="O1320" s="46"/>
      <c r="P1320" s="46"/>
      <c r="Q1320" s="46"/>
      <c r="R1320" s="46"/>
      <c r="S1320" s="46"/>
      <c r="T1320" s="46"/>
      <c r="U1320" s="46"/>
      <c r="V1320" s="46"/>
      <c r="W1320" s="46"/>
      <c r="X1320" s="46"/>
      <c r="Y1320" s="46"/>
      <c r="Z1320" s="46"/>
      <c r="AA1320" s="46"/>
    </row>
    <row r="1321">
      <c r="A1321" s="46"/>
      <c r="B1321" s="46"/>
      <c r="C1321" s="46"/>
      <c r="D1321" s="46"/>
      <c r="E1321" s="46"/>
      <c r="F1321" s="46"/>
      <c r="G1321" s="46"/>
      <c r="H1321" s="46"/>
      <c r="I1321" s="46"/>
      <c r="J1321" s="46"/>
      <c r="K1321" s="46"/>
      <c r="L1321" s="46"/>
      <c r="M1321" s="46"/>
      <c r="N1321" s="46"/>
      <c r="O1321" s="46"/>
      <c r="P1321" s="46"/>
      <c r="Q1321" s="46"/>
      <c r="R1321" s="46"/>
      <c r="S1321" s="46"/>
      <c r="T1321" s="46"/>
      <c r="U1321" s="46"/>
      <c r="V1321" s="46"/>
      <c r="W1321" s="46"/>
      <c r="X1321" s="46"/>
      <c r="Y1321" s="46"/>
      <c r="Z1321" s="46"/>
      <c r="AA1321" s="46"/>
    </row>
    <row r="1322">
      <c r="A1322" s="46"/>
      <c r="B1322" s="46"/>
      <c r="C1322" s="46"/>
      <c r="D1322" s="46"/>
      <c r="E1322" s="46"/>
      <c r="F1322" s="46"/>
      <c r="G1322" s="46"/>
      <c r="H1322" s="46"/>
      <c r="I1322" s="46"/>
      <c r="J1322" s="46"/>
      <c r="K1322" s="46"/>
      <c r="L1322" s="46"/>
      <c r="M1322" s="46"/>
      <c r="N1322" s="46"/>
      <c r="O1322" s="46"/>
      <c r="P1322" s="46"/>
      <c r="Q1322" s="46"/>
      <c r="R1322" s="46"/>
      <c r="S1322" s="46"/>
      <c r="T1322" s="46"/>
      <c r="U1322" s="46"/>
      <c r="V1322" s="46"/>
      <c r="W1322" s="46"/>
      <c r="X1322" s="46"/>
      <c r="Y1322" s="46"/>
      <c r="Z1322" s="46"/>
      <c r="AA1322" s="46"/>
    </row>
    <row r="1323">
      <c r="A1323" s="46"/>
      <c r="B1323" s="46"/>
      <c r="C1323" s="46"/>
      <c r="D1323" s="46"/>
      <c r="E1323" s="46"/>
      <c r="F1323" s="46"/>
      <c r="G1323" s="46"/>
      <c r="H1323" s="46"/>
      <c r="I1323" s="46"/>
      <c r="J1323" s="46"/>
      <c r="K1323" s="46"/>
      <c r="L1323" s="46"/>
      <c r="M1323" s="46"/>
      <c r="N1323" s="46"/>
      <c r="O1323" s="46"/>
      <c r="P1323" s="46"/>
      <c r="Q1323" s="46"/>
      <c r="R1323" s="46"/>
      <c r="S1323" s="46"/>
      <c r="T1323" s="46"/>
      <c r="U1323" s="46"/>
      <c r="V1323" s="46"/>
      <c r="W1323" s="46"/>
      <c r="X1323" s="46"/>
      <c r="Y1323" s="46"/>
      <c r="Z1323" s="46"/>
      <c r="AA1323" s="46"/>
    </row>
    <row r="1324">
      <c r="A1324" s="46"/>
      <c r="B1324" s="46"/>
      <c r="C1324" s="46"/>
      <c r="D1324" s="46"/>
      <c r="E1324" s="46"/>
      <c r="F1324" s="46"/>
      <c r="G1324" s="46"/>
      <c r="H1324" s="46"/>
      <c r="I1324" s="46"/>
      <c r="J1324" s="46"/>
      <c r="K1324" s="46"/>
      <c r="L1324" s="46"/>
      <c r="M1324" s="46"/>
      <c r="N1324" s="46"/>
      <c r="O1324" s="46"/>
      <c r="P1324" s="46"/>
      <c r="Q1324" s="46"/>
      <c r="R1324" s="46"/>
      <c r="S1324" s="46"/>
      <c r="T1324" s="46"/>
      <c r="U1324" s="46"/>
      <c r="V1324" s="46"/>
      <c r="W1324" s="46"/>
      <c r="X1324" s="46"/>
      <c r="Y1324" s="46"/>
      <c r="Z1324" s="46"/>
      <c r="AA1324" s="46"/>
    </row>
    <row r="1325">
      <c r="A1325" s="46"/>
      <c r="B1325" s="46"/>
      <c r="C1325" s="46"/>
      <c r="D1325" s="46"/>
      <c r="E1325" s="46"/>
      <c r="F1325" s="46"/>
      <c r="G1325" s="46"/>
      <c r="H1325" s="46"/>
      <c r="I1325" s="46"/>
      <c r="J1325" s="46"/>
      <c r="K1325" s="46"/>
      <c r="L1325" s="46"/>
      <c r="M1325" s="46"/>
      <c r="N1325" s="46"/>
      <c r="O1325" s="46"/>
      <c r="P1325" s="46"/>
      <c r="Q1325" s="46"/>
      <c r="R1325" s="46"/>
      <c r="S1325" s="46"/>
      <c r="T1325" s="46"/>
      <c r="U1325" s="46"/>
      <c r="V1325" s="46"/>
      <c r="W1325" s="46"/>
      <c r="X1325" s="46"/>
      <c r="Y1325" s="46"/>
      <c r="Z1325" s="46"/>
      <c r="AA1325" s="46"/>
    </row>
    <row r="1326">
      <c r="A1326" s="46"/>
      <c r="B1326" s="46"/>
      <c r="C1326" s="46"/>
      <c r="D1326" s="46"/>
      <c r="E1326" s="46"/>
      <c r="F1326" s="46"/>
      <c r="G1326" s="46"/>
      <c r="H1326" s="46"/>
      <c r="I1326" s="46"/>
      <c r="J1326" s="46"/>
      <c r="K1326" s="46"/>
      <c r="L1326" s="46"/>
      <c r="M1326" s="46"/>
      <c r="N1326" s="46"/>
      <c r="O1326" s="46"/>
      <c r="P1326" s="46"/>
      <c r="Q1326" s="46"/>
      <c r="R1326" s="46"/>
      <c r="S1326" s="46"/>
      <c r="T1326" s="46"/>
      <c r="U1326" s="46"/>
      <c r="V1326" s="46"/>
      <c r="W1326" s="46"/>
      <c r="X1326" s="46"/>
      <c r="Y1326" s="46"/>
      <c r="Z1326" s="46"/>
      <c r="AA1326" s="46"/>
    </row>
    <row r="1327">
      <c r="A1327" s="46"/>
      <c r="B1327" s="46"/>
      <c r="C1327" s="46"/>
      <c r="D1327" s="46"/>
      <c r="E1327" s="46"/>
      <c r="F1327" s="46"/>
      <c r="G1327" s="46"/>
      <c r="H1327" s="46"/>
      <c r="I1327" s="46"/>
      <c r="J1327" s="46"/>
      <c r="K1327" s="46"/>
      <c r="L1327" s="46"/>
      <c r="M1327" s="46"/>
      <c r="N1327" s="46"/>
      <c r="O1327" s="46"/>
      <c r="P1327" s="46"/>
      <c r="Q1327" s="46"/>
      <c r="R1327" s="46"/>
      <c r="S1327" s="46"/>
      <c r="T1327" s="46"/>
      <c r="U1327" s="46"/>
      <c r="V1327" s="46"/>
      <c r="W1327" s="46"/>
      <c r="X1327" s="46"/>
      <c r="Y1327" s="46"/>
      <c r="Z1327" s="46"/>
      <c r="AA1327" s="46"/>
    </row>
    <row r="1328">
      <c r="A1328" s="46"/>
      <c r="B1328" s="46"/>
      <c r="C1328" s="46"/>
      <c r="D1328" s="46"/>
      <c r="E1328" s="46"/>
      <c r="F1328" s="46"/>
      <c r="G1328" s="46"/>
      <c r="H1328" s="46"/>
      <c r="I1328" s="46"/>
      <c r="J1328" s="46"/>
      <c r="K1328" s="46"/>
      <c r="L1328" s="46"/>
      <c r="M1328" s="46"/>
      <c r="N1328" s="46"/>
      <c r="O1328" s="46"/>
      <c r="P1328" s="46"/>
      <c r="Q1328" s="46"/>
      <c r="R1328" s="46"/>
      <c r="S1328" s="46"/>
      <c r="T1328" s="46"/>
      <c r="U1328" s="46"/>
      <c r="V1328" s="46"/>
      <c r="W1328" s="46"/>
      <c r="X1328" s="46"/>
      <c r="Y1328" s="46"/>
      <c r="Z1328" s="46"/>
      <c r="AA1328" s="46"/>
    </row>
    <row r="1329">
      <c r="A1329" s="46"/>
      <c r="B1329" s="46"/>
      <c r="C1329" s="46"/>
      <c r="D1329" s="46"/>
      <c r="E1329" s="46"/>
      <c r="F1329" s="46"/>
      <c r="G1329" s="46"/>
      <c r="H1329" s="46"/>
      <c r="I1329" s="46"/>
      <c r="J1329" s="46"/>
      <c r="K1329" s="46"/>
      <c r="L1329" s="46"/>
      <c r="M1329" s="46"/>
      <c r="N1329" s="46"/>
      <c r="O1329" s="46"/>
      <c r="P1329" s="46"/>
      <c r="Q1329" s="46"/>
      <c r="R1329" s="46"/>
      <c r="S1329" s="46"/>
      <c r="T1329" s="46"/>
      <c r="U1329" s="46"/>
      <c r="V1329" s="46"/>
      <c r="W1329" s="46"/>
      <c r="X1329" s="46"/>
      <c r="Y1329" s="46"/>
      <c r="Z1329" s="46"/>
      <c r="AA1329" s="46"/>
    </row>
    <row r="1330">
      <c r="A1330" s="46"/>
      <c r="B1330" s="46"/>
      <c r="C1330" s="46"/>
      <c r="D1330" s="46"/>
      <c r="E1330" s="46"/>
      <c r="F1330" s="46"/>
      <c r="G1330" s="46"/>
      <c r="H1330" s="46"/>
      <c r="I1330" s="46"/>
      <c r="J1330" s="46"/>
      <c r="K1330" s="46"/>
      <c r="L1330" s="46"/>
      <c r="M1330" s="46"/>
      <c r="N1330" s="46"/>
      <c r="O1330" s="46"/>
      <c r="P1330" s="46"/>
      <c r="Q1330" s="46"/>
      <c r="R1330" s="46"/>
      <c r="S1330" s="46"/>
      <c r="T1330" s="46"/>
      <c r="U1330" s="46"/>
      <c r="V1330" s="46"/>
      <c r="W1330" s="46"/>
      <c r="X1330" s="46"/>
      <c r="Y1330" s="46"/>
      <c r="Z1330" s="46"/>
      <c r="AA1330" s="46"/>
    </row>
    <row r="1331">
      <c r="A1331" s="46"/>
      <c r="B1331" s="46"/>
      <c r="C1331" s="46"/>
      <c r="D1331" s="46"/>
      <c r="E1331" s="46"/>
      <c r="F1331" s="46"/>
      <c r="G1331" s="46"/>
      <c r="H1331" s="46"/>
      <c r="I1331" s="46"/>
      <c r="J1331" s="46"/>
      <c r="K1331" s="46"/>
      <c r="L1331" s="46"/>
      <c r="M1331" s="46"/>
      <c r="N1331" s="46"/>
      <c r="O1331" s="46"/>
      <c r="P1331" s="46"/>
      <c r="Q1331" s="46"/>
      <c r="R1331" s="46"/>
      <c r="S1331" s="46"/>
      <c r="T1331" s="46"/>
      <c r="U1331" s="46"/>
      <c r="V1331" s="46"/>
      <c r="W1331" s="46"/>
      <c r="X1331" s="46"/>
      <c r="Y1331" s="46"/>
      <c r="Z1331" s="46"/>
      <c r="AA1331" s="46"/>
    </row>
    <row r="1332">
      <c r="A1332" s="46"/>
      <c r="B1332" s="46"/>
      <c r="C1332" s="46"/>
      <c r="D1332" s="46"/>
      <c r="E1332" s="46"/>
      <c r="F1332" s="46"/>
      <c r="G1332" s="46"/>
      <c r="H1332" s="46"/>
      <c r="I1332" s="46"/>
      <c r="J1332" s="46"/>
      <c r="K1332" s="46"/>
      <c r="L1332" s="46"/>
      <c r="M1332" s="46"/>
      <c r="N1332" s="46"/>
      <c r="O1332" s="46"/>
      <c r="P1332" s="46"/>
      <c r="Q1332" s="46"/>
      <c r="R1332" s="46"/>
      <c r="S1332" s="46"/>
      <c r="T1332" s="46"/>
      <c r="U1332" s="46"/>
      <c r="V1332" s="46"/>
      <c r="W1332" s="46"/>
      <c r="X1332" s="46"/>
      <c r="Y1332" s="46"/>
      <c r="Z1332" s="46"/>
      <c r="AA1332" s="46"/>
    </row>
    <row r="1333">
      <c r="A1333" s="46"/>
      <c r="B1333" s="46"/>
      <c r="C1333" s="46"/>
      <c r="D1333" s="46"/>
      <c r="E1333" s="46"/>
      <c r="F1333" s="46"/>
      <c r="G1333" s="46"/>
      <c r="H1333" s="46"/>
      <c r="I1333" s="46"/>
      <c r="J1333" s="46"/>
      <c r="K1333" s="46"/>
      <c r="L1333" s="46"/>
      <c r="M1333" s="46"/>
      <c r="N1333" s="46"/>
      <c r="O1333" s="46"/>
      <c r="P1333" s="46"/>
      <c r="Q1333" s="46"/>
      <c r="R1333" s="46"/>
      <c r="S1333" s="46"/>
      <c r="T1333" s="46"/>
      <c r="U1333" s="46"/>
      <c r="V1333" s="46"/>
      <c r="W1333" s="46"/>
      <c r="X1333" s="46"/>
      <c r="Y1333" s="46"/>
      <c r="Z1333" s="46"/>
      <c r="AA1333" s="46"/>
    </row>
    <row r="1334">
      <c r="A1334" s="46"/>
      <c r="B1334" s="46"/>
      <c r="C1334" s="46"/>
      <c r="D1334" s="46"/>
      <c r="E1334" s="46"/>
      <c r="F1334" s="46"/>
      <c r="G1334" s="46"/>
      <c r="H1334" s="46"/>
      <c r="I1334" s="46"/>
      <c r="J1334" s="46"/>
      <c r="K1334" s="46"/>
      <c r="L1334" s="46"/>
      <c r="M1334" s="46"/>
      <c r="N1334" s="46"/>
      <c r="O1334" s="46"/>
      <c r="P1334" s="46"/>
      <c r="Q1334" s="46"/>
      <c r="R1334" s="46"/>
      <c r="S1334" s="46"/>
      <c r="T1334" s="46"/>
      <c r="U1334" s="46"/>
      <c r="V1334" s="46"/>
      <c r="W1334" s="46"/>
      <c r="X1334" s="46"/>
      <c r="Y1334" s="46"/>
      <c r="Z1334" s="46"/>
      <c r="AA1334" s="46"/>
    </row>
    <row r="1335">
      <c r="A1335" s="46"/>
      <c r="B1335" s="46"/>
      <c r="C1335" s="46"/>
      <c r="D1335" s="46"/>
      <c r="E1335" s="46"/>
      <c r="F1335" s="46"/>
      <c r="G1335" s="46"/>
      <c r="H1335" s="46"/>
      <c r="I1335" s="46"/>
      <c r="J1335" s="46"/>
      <c r="K1335" s="46"/>
      <c r="L1335" s="46"/>
      <c r="M1335" s="46"/>
      <c r="N1335" s="46"/>
      <c r="O1335" s="46"/>
      <c r="P1335" s="46"/>
      <c r="Q1335" s="46"/>
      <c r="R1335" s="46"/>
      <c r="S1335" s="46"/>
      <c r="T1335" s="46"/>
      <c r="U1335" s="46"/>
      <c r="V1335" s="46"/>
      <c r="W1335" s="46"/>
      <c r="X1335" s="46"/>
      <c r="Y1335" s="46"/>
      <c r="Z1335" s="46"/>
      <c r="AA1335" s="46"/>
    </row>
    <row r="1336">
      <c r="A1336" s="46"/>
      <c r="B1336" s="46"/>
      <c r="C1336" s="46"/>
      <c r="D1336" s="46"/>
      <c r="E1336" s="46"/>
      <c r="F1336" s="46"/>
      <c r="G1336" s="46"/>
      <c r="H1336" s="46"/>
      <c r="I1336" s="46"/>
      <c r="J1336" s="46"/>
      <c r="K1336" s="46"/>
      <c r="L1336" s="46"/>
      <c r="M1336" s="46"/>
      <c r="N1336" s="46"/>
      <c r="O1336" s="46"/>
      <c r="P1336" s="46"/>
      <c r="Q1336" s="46"/>
      <c r="R1336" s="46"/>
      <c r="S1336" s="46"/>
      <c r="T1336" s="46"/>
      <c r="U1336" s="46"/>
      <c r="V1336" s="46"/>
      <c r="W1336" s="46"/>
      <c r="X1336" s="46"/>
      <c r="Y1336" s="46"/>
      <c r="Z1336" s="46"/>
      <c r="AA1336" s="46"/>
    </row>
    <row r="1337">
      <c r="A1337" s="46"/>
      <c r="B1337" s="46"/>
      <c r="C1337" s="46"/>
      <c r="D1337" s="46"/>
      <c r="E1337" s="46"/>
      <c r="F1337" s="46"/>
      <c r="G1337" s="46"/>
      <c r="H1337" s="46"/>
      <c r="I1337" s="46"/>
      <c r="J1337" s="46"/>
      <c r="K1337" s="46"/>
      <c r="L1337" s="46"/>
      <c r="M1337" s="46"/>
      <c r="N1337" s="46"/>
      <c r="O1337" s="46"/>
      <c r="P1337" s="46"/>
      <c r="Q1337" s="46"/>
      <c r="R1337" s="46"/>
      <c r="S1337" s="46"/>
      <c r="T1337" s="46"/>
      <c r="U1337" s="46"/>
      <c r="V1337" s="46"/>
      <c r="W1337" s="46"/>
      <c r="X1337" s="46"/>
      <c r="Y1337" s="46"/>
      <c r="Z1337" s="46"/>
      <c r="AA1337" s="46"/>
    </row>
    <row r="1338">
      <c r="A1338" s="46"/>
      <c r="B1338" s="46"/>
      <c r="C1338" s="46"/>
      <c r="D1338" s="46"/>
      <c r="E1338" s="46"/>
      <c r="F1338" s="46"/>
      <c r="G1338" s="46"/>
      <c r="H1338" s="46"/>
      <c r="I1338" s="46"/>
      <c r="J1338" s="46"/>
      <c r="K1338" s="46"/>
      <c r="L1338" s="46"/>
      <c r="M1338" s="46"/>
      <c r="N1338" s="46"/>
      <c r="O1338" s="46"/>
      <c r="P1338" s="46"/>
      <c r="Q1338" s="46"/>
      <c r="R1338" s="46"/>
      <c r="S1338" s="46"/>
      <c r="T1338" s="46"/>
      <c r="U1338" s="46"/>
      <c r="V1338" s="46"/>
      <c r="W1338" s="46"/>
      <c r="X1338" s="46"/>
      <c r="Y1338" s="46"/>
      <c r="Z1338" s="46"/>
      <c r="AA1338" s="46"/>
    </row>
    <row r="1339">
      <c r="A1339" s="46"/>
      <c r="B1339" s="46"/>
      <c r="C1339" s="46"/>
      <c r="D1339" s="46"/>
      <c r="E1339" s="46"/>
      <c r="F1339" s="46"/>
      <c r="G1339" s="46"/>
      <c r="H1339" s="46"/>
      <c r="I1339" s="46"/>
      <c r="J1339" s="46"/>
      <c r="K1339" s="46"/>
      <c r="L1339" s="46"/>
      <c r="M1339" s="46"/>
      <c r="N1339" s="46"/>
      <c r="O1339" s="46"/>
      <c r="P1339" s="46"/>
      <c r="Q1339" s="46"/>
      <c r="R1339" s="46"/>
      <c r="S1339" s="46"/>
      <c r="T1339" s="46"/>
      <c r="U1339" s="46"/>
      <c r="V1339" s="46"/>
      <c r="W1339" s="46"/>
      <c r="X1339" s="46"/>
      <c r="Y1339" s="46"/>
      <c r="Z1339" s="46"/>
      <c r="AA1339" s="46"/>
    </row>
    <row r="1340">
      <c r="A1340" s="46"/>
      <c r="B1340" s="46"/>
      <c r="C1340" s="46"/>
      <c r="D1340" s="46"/>
      <c r="E1340" s="46"/>
      <c r="F1340" s="46"/>
      <c r="G1340" s="46"/>
      <c r="H1340" s="46"/>
      <c r="I1340" s="46"/>
      <c r="J1340" s="46"/>
      <c r="K1340" s="46"/>
      <c r="L1340" s="46"/>
      <c r="M1340" s="46"/>
      <c r="N1340" s="46"/>
      <c r="O1340" s="46"/>
      <c r="P1340" s="46"/>
      <c r="Q1340" s="46"/>
      <c r="R1340" s="46"/>
      <c r="S1340" s="46"/>
      <c r="T1340" s="46"/>
      <c r="U1340" s="46"/>
      <c r="V1340" s="46"/>
      <c r="W1340" s="46"/>
      <c r="X1340" s="46"/>
      <c r="Y1340" s="46"/>
      <c r="Z1340" s="46"/>
      <c r="AA1340" s="46"/>
    </row>
    <row r="1341">
      <c r="A1341" s="46"/>
      <c r="B1341" s="46"/>
      <c r="C1341" s="46"/>
      <c r="D1341" s="46"/>
      <c r="E1341" s="46"/>
      <c r="F1341" s="46"/>
      <c r="G1341" s="46"/>
      <c r="H1341" s="46"/>
      <c r="I1341" s="46"/>
      <c r="J1341" s="46"/>
      <c r="K1341" s="46"/>
      <c r="L1341" s="46"/>
      <c r="M1341" s="46"/>
      <c r="N1341" s="46"/>
      <c r="O1341" s="46"/>
      <c r="P1341" s="46"/>
      <c r="Q1341" s="46"/>
      <c r="R1341" s="46"/>
      <c r="S1341" s="46"/>
      <c r="T1341" s="46"/>
      <c r="U1341" s="46"/>
      <c r="V1341" s="46"/>
      <c r="W1341" s="46"/>
      <c r="X1341" s="46"/>
      <c r="Y1341" s="46"/>
      <c r="Z1341" s="46"/>
      <c r="AA1341" s="46"/>
    </row>
    <row r="1342">
      <c r="A1342" s="46"/>
      <c r="B1342" s="46"/>
      <c r="C1342" s="46"/>
      <c r="D1342" s="46"/>
      <c r="E1342" s="46"/>
      <c r="F1342" s="46"/>
      <c r="G1342" s="46"/>
      <c r="H1342" s="46"/>
      <c r="I1342" s="46"/>
      <c r="J1342" s="46"/>
      <c r="K1342" s="46"/>
      <c r="L1342" s="46"/>
      <c r="M1342" s="46"/>
      <c r="N1342" s="46"/>
      <c r="O1342" s="46"/>
      <c r="P1342" s="46"/>
      <c r="Q1342" s="46"/>
      <c r="R1342" s="46"/>
      <c r="S1342" s="46"/>
      <c r="T1342" s="46"/>
      <c r="U1342" s="46"/>
      <c r="V1342" s="46"/>
      <c r="W1342" s="46"/>
      <c r="X1342" s="46"/>
      <c r="Y1342" s="46"/>
      <c r="Z1342" s="46"/>
      <c r="AA1342" s="46"/>
    </row>
    <row r="1343">
      <c r="A1343" s="46"/>
      <c r="B1343" s="46"/>
      <c r="C1343" s="46"/>
      <c r="D1343" s="46"/>
      <c r="E1343" s="46"/>
      <c r="F1343" s="46"/>
      <c r="G1343" s="46"/>
      <c r="H1343" s="46"/>
      <c r="I1343" s="46"/>
      <c r="J1343" s="46"/>
      <c r="K1343" s="46"/>
      <c r="L1343" s="46"/>
      <c r="M1343" s="46"/>
      <c r="N1343" s="46"/>
      <c r="O1343" s="46"/>
      <c r="P1343" s="46"/>
      <c r="Q1343" s="46"/>
      <c r="R1343" s="46"/>
      <c r="S1343" s="46"/>
      <c r="T1343" s="46"/>
      <c r="U1343" s="46"/>
      <c r="V1343" s="46"/>
      <c r="W1343" s="46"/>
      <c r="X1343" s="46"/>
      <c r="Y1343" s="46"/>
      <c r="Z1343" s="46"/>
      <c r="AA1343" s="46"/>
    </row>
    <row r="1344">
      <c r="A1344" s="46"/>
      <c r="B1344" s="46"/>
      <c r="C1344" s="46"/>
      <c r="D1344" s="46"/>
      <c r="E1344" s="46"/>
      <c r="F1344" s="46"/>
      <c r="G1344" s="46"/>
      <c r="H1344" s="46"/>
      <c r="I1344" s="46"/>
      <c r="J1344" s="46"/>
      <c r="K1344" s="46"/>
      <c r="L1344" s="46"/>
      <c r="M1344" s="46"/>
      <c r="N1344" s="46"/>
      <c r="O1344" s="46"/>
      <c r="P1344" s="46"/>
      <c r="Q1344" s="46"/>
      <c r="R1344" s="46"/>
      <c r="S1344" s="46"/>
      <c r="T1344" s="46"/>
      <c r="U1344" s="46"/>
      <c r="V1344" s="46"/>
      <c r="W1344" s="46"/>
      <c r="X1344" s="46"/>
      <c r="Y1344" s="46"/>
      <c r="Z1344" s="46"/>
      <c r="AA1344" s="46"/>
    </row>
    <row r="1345">
      <c r="A1345" s="46"/>
      <c r="B1345" s="46"/>
      <c r="C1345" s="46"/>
      <c r="D1345" s="46"/>
      <c r="E1345" s="46"/>
      <c r="F1345" s="46"/>
      <c r="G1345" s="46"/>
      <c r="H1345" s="46"/>
      <c r="I1345" s="46"/>
      <c r="J1345" s="46"/>
      <c r="K1345" s="46"/>
      <c r="L1345" s="46"/>
      <c r="M1345" s="46"/>
      <c r="N1345" s="46"/>
      <c r="O1345" s="46"/>
      <c r="P1345" s="46"/>
      <c r="Q1345" s="46"/>
      <c r="R1345" s="46"/>
      <c r="S1345" s="46"/>
      <c r="T1345" s="46"/>
      <c r="U1345" s="46"/>
      <c r="V1345" s="46"/>
      <c r="W1345" s="46"/>
      <c r="X1345" s="46"/>
      <c r="Y1345" s="46"/>
      <c r="Z1345" s="46"/>
      <c r="AA1345" s="46"/>
    </row>
    <row r="1346">
      <c r="A1346" s="46"/>
      <c r="B1346" s="46"/>
      <c r="C1346" s="46"/>
      <c r="D1346" s="46"/>
      <c r="E1346" s="46"/>
      <c r="F1346" s="46"/>
      <c r="G1346" s="46"/>
      <c r="H1346" s="46"/>
      <c r="I1346" s="46"/>
      <c r="J1346" s="46"/>
      <c r="K1346" s="46"/>
      <c r="L1346" s="46"/>
      <c r="M1346" s="46"/>
      <c r="N1346" s="46"/>
      <c r="O1346" s="46"/>
      <c r="P1346" s="46"/>
      <c r="Q1346" s="46"/>
      <c r="R1346" s="46"/>
      <c r="S1346" s="46"/>
      <c r="T1346" s="46"/>
      <c r="U1346" s="46"/>
      <c r="V1346" s="46"/>
      <c r="W1346" s="46"/>
      <c r="X1346" s="46"/>
      <c r="Y1346" s="46"/>
      <c r="Z1346" s="46"/>
      <c r="AA1346" s="46"/>
    </row>
    <row r="1347">
      <c r="A1347" s="46"/>
      <c r="B1347" s="46"/>
      <c r="C1347" s="46"/>
      <c r="D1347" s="46"/>
      <c r="E1347" s="46"/>
      <c r="F1347" s="46"/>
      <c r="G1347" s="46"/>
      <c r="H1347" s="46"/>
      <c r="I1347" s="46"/>
      <c r="J1347" s="46"/>
      <c r="K1347" s="46"/>
      <c r="L1347" s="46"/>
      <c r="M1347" s="46"/>
      <c r="N1347" s="46"/>
      <c r="O1347" s="46"/>
      <c r="P1347" s="46"/>
      <c r="Q1347" s="46"/>
      <c r="R1347" s="46"/>
      <c r="S1347" s="46"/>
      <c r="T1347" s="46"/>
      <c r="U1347" s="46"/>
      <c r="V1347" s="46"/>
      <c r="W1347" s="46"/>
      <c r="X1347" s="46"/>
      <c r="Y1347" s="46"/>
      <c r="Z1347" s="46"/>
      <c r="AA1347" s="46"/>
    </row>
    <row r="1348">
      <c r="A1348" s="46"/>
      <c r="B1348" s="46"/>
      <c r="C1348" s="46"/>
      <c r="D1348" s="46"/>
      <c r="E1348" s="46"/>
      <c r="F1348" s="46"/>
      <c r="G1348" s="46"/>
      <c r="H1348" s="46"/>
      <c r="I1348" s="46"/>
      <c r="J1348" s="46"/>
      <c r="K1348" s="46"/>
      <c r="L1348" s="46"/>
      <c r="M1348" s="46"/>
      <c r="N1348" s="46"/>
      <c r="O1348" s="46"/>
      <c r="P1348" s="46"/>
      <c r="Q1348" s="46"/>
      <c r="R1348" s="46"/>
      <c r="S1348" s="46"/>
      <c r="T1348" s="46"/>
      <c r="U1348" s="46"/>
      <c r="V1348" s="46"/>
      <c r="W1348" s="46"/>
      <c r="X1348" s="46"/>
      <c r="Y1348" s="46"/>
      <c r="Z1348" s="46"/>
      <c r="AA1348" s="46"/>
    </row>
    <row r="1349">
      <c r="A1349" s="46"/>
      <c r="B1349" s="46"/>
      <c r="C1349" s="46"/>
      <c r="D1349" s="46"/>
      <c r="E1349" s="46"/>
      <c r="F1349" s="46"/>
      <c r="G1349" s="46"/>
      <c r="H1349" s="46"/>
      <c r="I1349" s="46"/>
      <c r="J1349" s="46"/>
      <c r="K1349" s="46"/>
      <c r="L1349" s="46"/>
      <c r="M1349" s="46"/>
      <c r="N1349" s="46"/>
      <c r="O1349" s="46"/>
      <c r="P1349" s="46"/>
      <c r="Q1349" s="46"/>
      <c r="R1349" s="46"/>
      <c r="S1349" s="46"/>
      <c r="T1349" s="46"/>
      <c r="U1349" s="46"/>
      <c r="V1349" s="46"/>
      <c r="W1349" s="46"/>
      <c r="X1349" s="46"/>
      <c r="Y1349" s="46"/>
      <c r="Z1349" s="46"/>
      <c r="AA1349" s="46"/>
    </row>
    <row r="1350">
      <c r="A1350" s="46"/>
      <c r="B1350" s="46"/>
      <c r="C1350" s="46"/>
      <c r="D1350" s="46"/>
      <c r="E1350" s="46"/>
      <c r="F1350" s="46"/>
      <c r="G1350" s="46"/>
      <c r="H1350" s="46"/>
      <c r="I1350" s="46"/>
      <c r="J1350" s="46"/>
      <c r="K1350" s="46"/>
      <c r="L1350" s="46"/>
      <c r="M1350" s="46"/>
      <c r="N1350" s="46"/>
      <c r="O1350" s="46"/>
      <c r="P1350" s="46"/>
      <c r="Q1350" s="46"/>
      <c r="R1350" s="46"/>
      <c r="S1350" s="46"/>
      <c r="T1350" s="46"/>
      <c r="U1350" s="46"/>
      <c r="V1350" s="46"/>
      <c r="W1350" s="46"/>
      <c r="X1350" s="46"/>
      <c r="Y1350" s="46"/>
      <c r="Z1350" s="46"/>
      <c r="AA1350" s="46"/>
    </row>
    <row r="1351">
      <c r="A1351" s="46"/>
      <c r="B1351" s="46"/>
      <c r="C1351" s="46"/>
      <c r="D1351" s="46"/>
      <c r="E1351" s="46"/>
      <c r="F1351" s="46"/>
      <c r="G1351" s="46"/>
      <c r="H1351" s="46"/>
      <c r="I1351" s="46"/>
      <c r="J1351" s="46"/>
      <c r="K1351" s="46"/>
      <c r="L1351" s="46"/>
      <c r="M1351" s="46"/>
      <c r="N1351" s="46"/>
      <c r="O1351" s="46"/>
      <c r="P1351" s="46"/>
      <c r="Q1351" s="46"/>
      <c r="R1351" s="46"/>
      <c r="S1351" s="46"/>
      <c r="T1351" s="46"/>
      <c r="U1351" s="46"/>
      <c r="V1351" s="46"/>
      <c r="W1351" s="46"/>
      <c r="X1351" s="46"/>
      <c r="Y1351" s="46"/>
      <c r="Z1351" s="46"/>
      <c r="AA1351" s="46"/>
    </row>
    <row r="1352">
      <c r="A1352" s="46"/>
      <c r="B1352" s="46"/>
      <c r="C1352" s="46"/>
      <c r="D1352" s="46"/>
      <c r="E1352" s="46"/>
      <c r="F1352" s="46"/>
      <c r="G1352" s="46"/>
      <c r="H1352" s="46"/>
      <c r="I1352" s="46"/>
      <c r="J1352" s="46"/>
      <c r="K1352" s="46"/>
      <c r="L1352" s="46"/>
      <c r="M1352" s="46"/>
      <c r="N1352" s="46"/>
      <c r="O1352" s="46"/>
      <c r="P1352" s="46"/>
      <c r="Q1352" s="46"/>
      <c r="R1352" s="46"/>
      <c r="S1352" s="46"/>
      <c r="T1352" s="46"/>
      <c r="U1352" s="46"/>
      <c r="V1352" s="46"/>
      <c r="W1352" s="46"/>
      <c r="X1352" s="46"/>
      <c r="Y1352" s="46"/>
      <c r="Z1352" s="46"/>
      <c r="AA1352" s="46"/>
    </row>
    <row r="1353">
      <c r="A1353" s="46"/>
      <c r="B1353" s="46"/>
      <c r="C1353" s="46"/>
      <c r="D1353" s="46"/>
      <c r="E1353" s="46"/>
      <c r="F1353" s="46"/>
      <c r="G1353" s="46"/>
      <c r="H1353" s="46"/>
      <c r="I1353" s="46"/>
      <c r="J1353" s="46"/>
      <c r="K1353" s="46"/>
      <c r="L1353" s="46"/>
      <c r="M1353" s="46"/>
      <c r="N1353" s="46"/>
      <c r="O1353" s="46"/>
      <c r="P1353" s="46"/>
      <c r="Q1353" s="46"/>
      <c r="R1353" s="46"/>
      <c r="S1353" s="46"/>
      <c r="T1353" s="46"/>
      <c r="U1353" s="46"/>
      <c r="V1353" s="46"/>
      <c r="W1353" s="46"/>
      <c r="X1353" s="46"/>
      <c r="Y1353" s="46"/>
      <c r="Z1353" s="46"/>
      <c r="AA1353" s="46"/>
    </row>
    <row r="1354">
      <c r="A1354" s="46"/>
      <c r="B1354" s="46"/>
      <c r="C1354" s="46"/>
      <c r="D1354" s="46"/>
      <c r="E1354" s="46"/>
      <c r="F1354" s="46"/>
      <c r="G1354" s="46"/>
      <c r="H1354" s="46"/>
      <c r="I1354" s="46"/>
      <c r="J1354" s="46"/>
      <c r="K1354" s="46"/>
      <c r="L1354" s="46"/>
      <c r="M1354" s="46"/>
      <c r="N1354" s="46"/>
      <c r="O1354" s="46"/>
      <c r="P1354" s="46"/>
      <c r="Q1354" s="46"/>
      <c r="R1354" s="46"/>
      <c r="S1354" s="46"/>
      <c r="T1354" s="46"/>
      <c r="U1354" s="46"/>
      <c r="V1354" s="46"/>
      <c r="W1354" s="46"/>
      <c r="X1354" s="46"/>
      <c r="Y1354" s="46"/>
      <c r="Z1354" s="46"/>
      <c r="AA1354" s="46"/>
    </row>
    <row r="1355">
      <c r="A1355" s="46"/>
      <c r="B1355" s="46"/>
      <c r="C1355" s="46"/>
      <c r="D1355" s="46"/>
      <c r="E1355" s="46"/>
      <c r="F1355" s="46"/>
      <c r="G1355" s="46"/>
      <c r="H1355" s="46"/>
      <c r="I1355" s="46"/>
      <c r="J1355" s="46"/>
      <c r="K1355" s="46"/>
      <c r="L1355" s="46"/>
      <c r="M1355" s="46"/>
      <c r="N1355" s="46"/>
      <c r="O1355" s="46"/>
      <c r="P1355" s="46"/>
      <c r="Q1355" s="46"/>
      <c r="R1355" s="46"/>
      <c r="S1355" s="46"/>
      <c r="T1355" s="46"/>
      <c r="U1355" s="46"/>
      <c r="V1355" s="46"/>
      <c r="W1355" s="46"/>
      <c r="X1355" s="46"/>
      <c r="Y1355" s="46"/>
      <c r="Z1355" s="46"/>
      <c r="AA1355" s="46"/>
    </row>
    <row r="1356">
      <c r="A1356" s="46"/>
      <c r="B1356" s="46"/>
      <c r="C1356" s="46"/>
      <c r="D1356" s="46"/>
      <c r="E1356" s="46"/>
      <c r="F1356" s="46"/>
      <c r="G1356" s="46"/>
      <c r="H1356" s="46"/>
      <c r="I1356" s="46"/>
      <c r="J1356" s="46"/>
      <c r="K1356" s="46"/>
      <c r="L1356" s="46"/>
      <c r="M1356" s="46"/>
      <c r="N1356" s="46"/>
      <c r="O1356" s="46"/>
      <c r="P1356" s="46"/>
      <c r="Q1356" s="46"/>
      <c r="R1356" s="46"/>
      <c r="S1356" s="46"/>
      <c r="T1356" s="46"/>
      <c r="U1356" s="46"/>
      <c r="V1356" s="46"/>
      <c r="W1356" s="46"/>
      <c r="X1356" s="46"/>
      <c r="Y1356" s="46"/>
      <c r="Z1356" s="46"/>
      <c r="AA1356" s="46"/>
    </row>
    <row r="1357">
      <c r="A1357" s="46"/>
      <c r="B1357" s="46"/>
      <c r="C1357" s="46"/>
      <c r="D1357" s="46"/>
      <c r="E1357" s="46"/>
      <c r="F1357" s="46"/>
      <c r="G1357" s="46"/>
      <c r="H1357" s="46"/>
      <c r="I1357" s="46"/>
      <c r="J1357" s="46"/>
      <c r="K1357" s="46"/>
      <c r="L1357" s="46"/>
      <c r="M1357" s="46"/>
      <c r="N1357" s="46"/>
      <c r="O1357" s="46"/>
      <c r="P1357" s="46"/>
      <c r="Q1357" s="46"/>
      <c r="R1357" s="46"/>
      <c r="S1357" s="46"/>
      <c r="T1357" s="46"/>
      <c r="U1357" s="46"/>
      <c r="V1357" s="46"/>
      <c r="W1357" s="46"/>
      <c r="X1357" s="46"/>
      <c r="Y1357" s="46"/>
      <c r="Z1357" s="46"/>
      <c r="AA1357" s="46"/>
    </row>
    <row r="1358">
      <c r="A1358" s="46"/>
      <c r="B1358" s="46"/>
      <c r="C1358" s="46"/>
      <c r="D1358" s="46"/>
      <c r="E1358" s="46"/>
      <c r="F1358" s="46"/>
      <c r="G1358" s="46"/>
      <c r="H1358" s="46"/>
      <c r="I1358" s="46"/>
      <c r="J1358" s="46"/>
      <c r="K1358" s="46"/>
      <c r="L1358" s="46"/>
      <c r="M1358" s="46"/>
      <c r="N1358" s="46"/>
      <c r="O1358" s="46"/>
      <c r="P1358" s="46"/>
      <c r="Q1358" s="46"/>
      <c r="R1358" s="46"/>
      <c r="S1358" s="46"/>
      <c r="T1358" s="46"/>
      <c r="U1358" s="46"/>
      <c r="V1358" s="46"/>
      <c r="W1358" s="46"/>
      <c r="X1358" s="46"/>
      <c r="Y1358" s="46"/>
      <c r="Z1358" s="46"/>
      <c r="AA1358" s="46"/>
    </row>
    <row r="1359">
      <c r="A1359" s="46"/>
      <c r="B1359" s="46"/>
      <c r="C1359" s="46"/>
      <c r="D1359" s="46"/>
      <c r="E1359" s="46"/>
      <c r="F1359" s="46"/>
      <c r="G1359" s="46"/>
      <c r="H1359" s="46"/>
      <c r="I1359" s="46"/>
      <c r="J1359" s="46"/>
      <c r="K1359" s="46"/>
      <c r="L1359" s="46"/>
      <c r="M1359" s="46"/>
      <c r="N1359" s="46"/>
      <c r="O1359" s="46"/>
      <c r="P1359" s="46"/>
      <c r="Q1359" s="46"/>
      <c r="R1359" s="46"/>
      <c r="S1359" s="46"/>
      <c r="T1359" s="46"/>
      <c r="U1359" s="46"/>
      <c r="V1359" s="46"/>
      <c r="W1359" s="46"/>
      <c r="X1359" s="46"/>
      <c r="Y1359" s="46"/>
      <c r="Z1359" s="46"/>
      <c r="AA1359" s="46"/>
    </row>
    <row r="1360">
      <c r="A1360" s="46"/>
      <c r="B1360" s="46"/>
      <c r="C1360" s="46"/>
      <c r="D1360" s="46"/>
      <c r="E1360" s="46"/>
      <c r="F1360" s="46"/>
      <c r="G1360" s="46"/>
      <c r="H1360" s="46"/>
      <c r="I1360" s="46"/>
      <c r="J1360" s="46"/>
      <c r="K1360" s="46"/>
      <c r="L1360" s="46"/>
      <c r="M1360" s="46"/>
      <c r="N1360" s="46"/>
      <c r="O1360" s="46"/>
      <c r="P1360" s="46"/>
      <c r="Q1360" s="46"/>
      <c r="R1360" s="46"/>
      <c r="S1360" s="46"/>
      <c r="T1360" s="46"/>
      <c r="U1360" s="46"/>
      <c r="V1360" s="46"/>
      <c r="W1360" s="46"/>
      <c r="X1360" s="46"/>
      <c r="Y1360" s="46"/>
      <c r="Z1360" s="46"/>
      <c r="AA1360" s="46"/>
    </row>
    <row r="1361">
      <c r="A1361" s="46"/>
      <c r="B1361" s="46"/>
      <c r="C1361" s="46"/>
      <c r="D1361" s="46"/>
      <c r="E1361" s="46"/>
      <c r="F1361" s="46"/>
      <c r="G1361" s="46"/>
      <c r="H1361" s="46"/>
      <c r="I1361" s="46"/>
      <c r="J1361" s="46"/>
      <c r="K1361" s="46"/>
      <c r="L1361" s="46"/>
      <c r="M1361" s="46"/>
      <c r="N1361" s="46"/>
      <c r="O1361" s="46"/>
      <c r="P1361" s="46"/>
      <c r="Q1361" s="46"/>
      <c r="R1361" s="46"/>
      <c r="S1361" s="46"/>
      <c r="T1361" s="46"/>
      <c r="U1361" s="46"/>
      <c r="V1361" s="46"/>
      <c r="W1361" s="46"/>
      <c r="X1361" s="46"/>
      <c r="Y1361" s="46"/>
      <c r="Z1361" s="46"/>
      <c r="AA1361" s="46"/>
    </row>
    <row r="1362">
      <c r="A1362" s="46"/>
      <c r="B1362" s="46"/>
      <c r="C1362" s="46"/>
      <c r="D1362" s="46"/>
      <c r="E1362" s="46"/>
      <c r="F1362" s="46"/>
      <c r="G1362" s="46"/>
      <c r="H1362" s="46"/>
      <c r="I1362" s="46"/>
      <c r="J1362" s="46"/>
      <c r="K1362" s="46"/>
      <c r="L1362" s="46"/>
      <c r="M1362" s="46"/>
      <c r="N1362" s="46"/>
      <c r="O1362" s="46"/>
      <c r="P1362" s="46"/>
      <c r="Q1362" s="46"/>
      <c r="R1362" s="46"/>
      <c r="S1362" s="46"/>
      <c r="T1362" s="46"/>
      <c r="U1362" s="46"/>
      <c r="V1362" s="46"/>
      <c r="W1362" s="46"/>
      <c r="X1362" s="46"/>
      <c r="Y1362" s="46"/>
      <c r="Z1362" s="46"/>
      <c r="AA1362" s="46"/>
    </row>
    <row r="1363">
      <c r="A1363" s="46"/>
      <c r="B1363" s="46"/>
      <c r="C1363" s="46"/>
      <c r="D1363" s="46"/>
      <c r="E1363" s="46"/>
      <c r="F1363" s="46"/>
      <c r="G1363" s="46"/>
      <c r="H1363" s="46"/>
      <c r="I1363" s="46"/>
      <c r="J1363" s="46"/>
      <c r="K1363" s="46"/>
      <c r="L1363" s="46"/>
      <c r="M1363" s="46"/>
      <c r="N1363" s="46"/>
      <c r="O1363" s="46"/>
      <c r="P1363" s="46"/>
      <c r="Q1363" s="46"/>
      <c r="R1363" s="46"/>
      <c r="S1363" s="46"/>
      <c r="T1363" s="46"/>
      <c r="U1363" s="46"/>
      <c r="V1363" s="46"/>
      <c r="W1363" s="46"/>
      <c r="X1363" s="46"/>
      <c r="Y1363" s="46"/>
      <c r="Z1363" s="46"/>
      <c r="AA1363" s="46"/>
    </row>
    <row r="1364">
      <c r="A1364" s="46"/>
      <c r="B1364" s="46"/>
      <c r="C1364" s="46"/>
      <c r="D1364" s="46"/>
      <c r="E1364" s="46"/>
      <c r="F1364" s="46"/>
      <c r="G1364" s="46"/>
      <c r="H1364" s="46"/>
      <c r="I1364" s="46"/>
      <c r="J1364" s="46"/>
      <c r="K1364" s="46"/>
      <c r="L1364" s="46"/>
      <c r="M1364" s="46"/>
      <c r="N1364" s="46"/>
      <c r="O1364" s="46"/>
      <c r="P1364" s="46"/>
      <c r="Q1364" s="46"/>
      <c r="R1364" s="46"/>
      <c r="S1364" s="46"/>
      <c r="T1364" s="46"/>
      <c r="U1364" s="46"/>
      <c r="V1364" s="46"/>
      <c r="W1364" s="46"/>
      <c r="X1364" s="46"/>
      <c r="Y1364" s="46"/>
      <c r="Z1364" s="46"/>
      <c r="AA1364" s="46"/>
    </row>
    <row r="1365">
      <c r="A1365" s="46"/>
      <c r="B1365" s="46"/>
      <c r="C1365" s="46"/>
      <c r="D1365" s="46"/>
      <c r="E1365" s="46"/>
      <c r="F1365" s="46"/>
      <c r="G1365" s="46"/>
      <c r="H1365" s="46"/>
      <c r="I1365" s="46"/>
      <c r="J1365" s="46"/>
      <c r="K1365" s="46"/>
      <c r="L1365" s="46"/>
      <c r="M1365" s="46"/>
      <c r="N1365" s="46"/>
      <c r="O1365" s="46"/>
      <c r="P1365" s="46"/>
      <c r="Q1365" s="46"/>
      <c r="R1365" s="46"/>
      <c r="S1365" s="46"/>
      <c r="T1365" s="46"/>
      <c r="U1365" s="46"/>
      <c r="V1365" s="46"/>
      <c r="W1365" s="46"/>
      <c r="X1365" s="46"/>
      <c r="Y1365" s="46"/>
      <c r="Z1365" s="46"/>
      <c r="AA1365" s="46"/>
    </row>
    <row r="1366">
      <c r="A1366" s="46"/>
      <c r="B1366" s="46"/>
      <c r="C1366" s="46"/>
      <c r="D1366" s="46"/>
      <c r="E1366" s="46"/>
      <c r="F1366" s="46"/>
      <c r="G1366" s="46"/>
      <c r="H1366" s="46"/>
      <c r="I1366" s="46"/>
      <c r="J1366" s="46"/>
      <c r="K1366" s="46"/>
      <c r="L1366" s="46"/>
      <c r="M1366" s="46"/>
      <c r="N1366" s="46"/>
      <c r="O1366" s="46"/>
      <c r="P1366" s="46"/>
      <c r="Q1366" s="46"/>
      <c r="R1366" s="46"/>
      <c r="S1366" s="46"/>
      <c r="T1366" s="46"/>
      <c r="U1366" s="46"/>
      <c r="V1366" s="46"/>
      <c r="W1366" s="46"/>
      <c r="X1366" s="46"/>
      <c r="Y1366" s="46"/>
      <c r="Z1366" s="46"/>
      <c r="AA1366" s="46"/>
    </row>
    <row r="1367">
      <c r="A1367" s="46"/>
      <c r="B1367" s="46"/>
      <c r="C1367" s="46"/>
      <c r="D1367" s="46"/>
      <c r="E1367" s="46"/>
      <c r="F1367" s="46"/>
      <c r="G1367" s="46"/>
      <c r="H1367" s="46"/>
      <c r="I1367" s="46"/>
      <c r="J1367" s="46"/>
      <c r="K1367" s="46"/>
      <c r="L1367" s="46"/>
      <c r="M1367" s="46"/>
      <c r="N1367" s="46"/>
      <c r="O1367" s="46"/>
      <c r="P1367" s="46"/>
      <c r="Q1367" s="46"/>
      <c r="R1367" s="46"/>
      <c r="S1367" s="46"/>
      <c r="T1367" s="46"/>
      <c r="U1367" s="46"/>
      <c r="V1367" s="46"/>
      <c r="W1367" s="46"/>
      <c r="X1367" s="46"/>
      <c r="Y1367" s="46"/>
      <c r="Z1367" s="46"/>
      <c r="AA1367" s="46"/>
    </row>
    <row r="1368">
      <c r="A1368" s="46"/>
      <c r="B1368" s="46"/>
      <c r="C1368" s="46"/>
      <c r="D1368" s="46"/>
      <c r="E1368" s="46"/>
      <c r="F1368" s="46"/>
      <c r="G1368" s="46"/>
      <c r="H1368" s="46"/>
      <c r="I1368" s="46"/>
      <c r="J1368" s="46"/>
      <c r="K1368" s="46"/>
      <c r="L1368" s="46"/>
      <c r="M1368" s="46"/>
      <c r="N1368" s="46"/>
      <c r="O1368" s="46"/>
      <c r="P1368" s="46"/>
      <c r="Q1368" s="46"/>
      <c r="R1368" s="46"/>
      <c r="S1368" s="46"/>
      <c r="T1368" s="46"/>
      <c r="U1368" s="46"/>
      <c r="V1368" s="46"/>
      <c r="W1368" s="46"/>
      <c r="X1368" s="46"/>
      <c r="Y1368" s="46"/>
      <c r="Z1368" s="46"/>
      <c r="AA1368" s="46"/>
    </row>
    <row r="1369">
      <c r="A1369" s="46"/>
      <c r="B1369" s="46"/>
      <c r="C1369" s="46"/>
      <c r="D1369" s="46"/>
      <c r="E1369" s="46"/>
      <c r="F1369" s="46"/>
      <c r="G1369" s="46"/>
      <c r="H1369" s="46"/>
      <c r="I1369" s="46"/>
      <c r="J1369" s="46"/>
      <c r="K1369" s="46"/>
      <c r="L1369" s="46"/>
      <c r="M1369" s="46"/>
      <c r="N1369" s="46"/>
      <c r="O1369" s="46"/>
      <c r="P1369" s="46"/>
      <c r="Q1369" s="46"/>
      <c r="R1369" s="46"/>
      <c r="S1369" s="46"/>
      <c r="T1369" s="46"/>
      <c r="U1369" s="46"/>
      <c r="V1369" s="46"/>
      <c r="W1369" s="46"/>
      <c r="X1369" s="46"/>
      <c r="Y1369" s="46"/>
      <c r="Z1369" s="46"/>
      <c r="AA1369" s="46"/>
    </row>
    <row r="1370">
      <c r="A1370" s="46"/>
      <c r="B1370" s="46"/>
      <c r="C1370" s="46"/>
      <c r="D1370" s="46"/>
      <c r="E1370" s="46"/>
      <c r="F1370" s="46"/>
      <c r="G1370" s="46"/>
      <c r="H1370" s="46"/>
      <c r="I1370" s="46"/>
      <c r="J1370" s="46"/>
      <c r="K1370" s="46"/>
      <c r="L1370" s="46"/>
      <c r="M1370" s="46"/>
      <c r="N1370" s="46"/>
      <c r="O1370" s="46"/>
      <c r="P1370" s="46"/>
      <c r="Q1370" s="46"/>
      <c r="R1370" s="46"/>
      <c r="S1370" s="46"/>
      <c r="T1370" s="46"/>
      <c r="U1370" s="46"/>
      <c r="V1370" s="46"/>
      <c r="W1370" s="46"/>
      <c r="X1370" s="46"/>
      <c r="Y1370" s="46"/>
      <c r="Z1370" s="46"/>
      <c r="AA1370" s="46"/>
    </row>
    <row r="1371">
      <c r="A1371" s="46"/>
      <c r="B1371" s="46"/>
      <c r="C1371" s="46"/>
      <c r="D1371" s="46"/>
      <c r="E1371" s="46"/>
      <c r="F1371" s="46"/>
      <c r="G1371" s="46"/>
      <c r="H1371" s="46"/>
      <c r="I1371" s="46"/>
      <c r="J1371" s="46"/>
      <c r="K1371" s="46"/>
      <c r="L1371" s="46"/>
      <c r="M1371" s="46"/>
      <c r="N1371" s="46"/>
      <c r="O1371" s="46"/>
      <c r="P1371" s="46"/>
      <c r="Q1371" s="46"/>
      <c r="R1371" s="46"/>
      <c r="S1371" s="46"/>
      <c r="T1371" s="46"/>
      <c r="U1371" s="46"/>
      <c r="V1371" s="46"/>
      <c r="W1371" s="46"/>
      <c r="X1371" s="46"/>
      <c r="Y1371" s="46"/>
      <c r="Z1371" s="46"/>
      <c r="AA1371" s="46"/>
    </row>
    <row r="1372">
      <c r="A1372" s="46"/>
      <c r="B1372" s="46"/>
      <c r="C1372" s="46"/>
      <c r="D1372" s="46"/>
      <c r="E1372" s="46"/>
      <c r="F1372" s="46"/>
      <c r="G1372" s="46"/>
      <c r="H1372" s="46"/>
      <c r="I1372" s="46"/>
      <c r="J1372" s="46"/>
      <c r="K1372" s="46"/>
      <c r="L1372" s="46"/>
      <c r="M1372" s="46"/>
      <c r="N1372" s="46"/>
      <c r="O1372" s="46"/>
      <c r="P1372" s="46"/>
      <c r="Q1372" s="46"/>
      <c r="R1372" s="46"/>
      <c r="S1372" s="46"/>
      <c r="T1372" s="46"/>
      <c r="U1372" s="46"/>
      <c r="V1372" s="46"/>
      <c r="W1372" s="46"/>
      <c r="X1372" s="46"/>
      <c r="Y1372" s="46"/>
      <c r="Z1372" s="46"/>
      <c r="AA1372" s="46"/>
    </row>
    <row r="1373">
      <c r="A1373" s="46"/>
      <c r="B1373" s="46"/>
      <c r="C1373" s="46"/>
      <c r="D1373" s="46"/>
      <c r="E1373" s="46"/>
      <c r="F1373" s="46"/>
      <c r="G1373" s="46"/>
      <c r="H1373" s="46"/>
      <c r="I1373" s="46"/>
      <c r="J1373" s="46"/>
      <c r="K1373" s="46"/>
      <c r="L1373" s="46"/>
      <c r="M1373" s="46"/>
      <c r="N1373" s="46"/>
      <c r="O1373" s="46"/>
      <c r="P1373" s="46"/>
      <c r="Q1373" s="46"/>
      <c r="R1373" s="46"/>
      <c r="S1373" s="46"/>
      <c r="T1373" s="46"/>
      <c r="U1373" s="46"/>
      <c r="V1373" s="46"/>
      <c r="W1373" s="46"/>
      <c r="X1373" s="46"/>
      <c r="Y1373" s="46"/>
      <c r="Z1373" s="46"/>
      <c r="AA1373" s="46"/>
    </row>
    <row r="1374">
      <c r="A1374" s="46"/>
      <c r="B1374" s="46"/>
      <c r="C1374" s="46"/>
      <c r="D1374" s="46"/>
      <c r="E1374" s="46"/>
      <c r="F1374" s="46"/>
      <c r="G1374" s="46"/>
      <c r="H1374" s="46"/>
      <c r="I1374" s="46"/>
      <c r="J1374" s="46"/>
      <c r="K1374" s="46"/>
      <c r="L1374" s="46"/>
      <c r="M1374" s="46"/>
      <c r="N1374" s="46"/>
      <c r="O1374" s="46"/>
      <c r="P1374" s="46"/>
      <c r="Q1374" s="46"/>
      <c r="R1374" s="46"/>
      <c r="S1374" s="46"/>
      <c r="T1374" s="46"/>
      <c r="U1374" s="46"/>
      <c r="V1374" s="46"/>
      <c r="W1374" s="46"/>
      <c r="X1374" s="46"/>
      <c r="Y1374" s="46"/>
      <c r="Z1374" s="46"/>
      <c r="AA1374" s="46"/>
    </row>
    <row r="1375">
      <c r="A1375" s="46"/>
      <c r="B1375" s="46"/>
      <c r="C1375" s="46"/>
      <c r="D1375" s="46"/>
      <c r="E1375" s="46"/>
      <c r="F1375" s="46"/>
      <c r="G1375" s="46"/>
      <c r="H1375" s="46"/>
      <c r="I1375" s="46"/>
      <c r="J1375" s="46"/>
      <c r="K1375" s="46"/>
      <c r="L1375" s="46"/>
      <c r="M1375" s="46"/>
      <c r="N1375" s="46"/>
      <c r="O1375" s="46"/>
      <c r="P1375" s="46"/>
      <c r="Q1375" s="46"/>
      <c r="R1375" s="46"/>
      <c r="S1375" s="46"/>
      <c r="T1375" s="46"/>
      <c r="U1375" s="46"/>
      <c r="V1375" s="46"/>
      <c r="W1375" s="46"/>
      <c r="X1375" s="46"/>
      <c r="Y1375" s="46"/>
      <c r="Z1375" s="46"/>
      <c r="AA1375" s="46"/>
    </row>
    <row r="1376">
      <c r="A1376" s="46"/>
      <c r="B1376" s="46"/>
      <c r="C1376" s="46"/>
      <c r="D1376" s="46"/>
      <c r="E1376" s="46"/>
      <c r="F1376" s="46"/>
      <c r="G1376" s="46"/>
      <c r="H1376" s="46"/>
      <c r="I1376" s="46"/>
      <c r="J1376" s="46"/>
      <c r="K1376" s="46"/>
      <c r="L1376" s="46"/>
      <c r="M1376" s="46"/>
      <c r="N1376" s="46"/>
      <c r="O1376" s="46"/>
      <c r="P1376" s="46"/>
      <c r="Q1376" s="46"/>
      <c r="R1376" s="46"/>
      <c r="S1376" s="46"/>
      <c r="T1376" s="46"/>
      <c r="U1376" s="46"/>
      <c r="V1376" s="46"/>
      <c r="W1376" s="46"/>
      <c r="X1376" s="46"/>
      <c r="Y1376" s="46"/>
      <c r="Z1376" s="46"/>
      <c r="AA1376" s="46"/>
    </row>
    <row r="1377">
      <c r="A1377" s="46"/>
      <c r="B1377" s="46"/>
      <c r="C1377" s="46"/>
      <c r="D1377" s="46"/>
      <c r="E1377" s="46"/>
      <c r="F1377" s="46"/>
      <c r="G1377" s="46"/>
      <c r="H1377" s="46"/>
      <c r="I1377" s="46"/>
      <c r="J1377" s="46"/>
      <c r="K1377" s="46"/>
      <c r="L1377" s="46"/>
      <c r="M1377" s="46"/>
      <c r="N1377" s="46"/>
      <c r="O1377" s="46"/>
      <c r="P1377" s="46"/>
      <c r="Q1377" s="46"/>
      <c r="R1377" s="46"/>
      <c r="S1377" s="46"/>
      <c r="T1377" s="46"/>
      <c r="U1377" s="46"/>
      <c r="V1377" s="46"/>
      <c r="W1377" s="46"/>
      <c r="X1377" s="46"/>
      <c r="Y1377" s="46"/>
      <c r="Z1377" s="46"/>
      <c r="AA1377" s="46"/>
    </row>
    <row r="1378">
      <c r="A1378" s="46"/>
      <c r="B1378" s="46"/>
      <c r="C1378" s="46"/>
      <c r="D1378" s="46"/>
      <c r="E1378" s="46"/>
      <c r="F1378" s="46"/>
      <c r="G1378" s="46"/>
      <c r="H1378" s="46"/>
      <c r="I1378" s="46"/>
      <c r="J1378" s="46"/>
      <c r="K1378" s="46"/>
      <c r="L1378" s="46"/>
      <c r="M1378" s="46"/>
      <c r="N1378" s="46"/>
      <c r="O1378" s="46"/>
      <c r="P1378" s="46"/>
      <c r="Q1378" s="46"/>
      <c r="R1378" s="46"/>
      <c r="S1378" s="46"/>
      <c r="T1378" s="46"/>
      <c r="U1378" s="46"/>
      <c r="V1378" s="46"/>
      <c r="W1378" s="46"/>
      <c r="X1378" s="46"/>
      <c r="Y1378" s="46"/>
      <c r="Z1378" s="46"/>
      <c r="AA1378" s="46"/>
    </row>
    <row r="1379">
      <c r="A1379" s="46"/>
      <c r="B1379" s="46"/>
      <c r="C1379" s="46"/>
      <c r="D1379" s="46"/>
      <c r="E1379" s="46"/>
      <c r="F1379" s="46"/>
      <c r="G1379" s="46"/>
      <c r="H1379" s="46"/>
      <c r="I1379" s="46"/>
      <c r="J1379" s="46"/>
      <c r="K1379" s="46"/>
      <c r="L1379" s="46"/>
      <c r="M1379" s="46"/>
      <c r="N1379" s="46"/>
      <c r="O1379" s="46"/>
      <c r="P1379" s="46"/>
      <c r="Q1379" s="46"/>
      <c r="R1379" s="46"/>
      <c r="S1379" s="46"/>
      <c r="T1379" s="46"/>
      <c r="U1379" s="46"/>
      <c r="V1379" s="46"/>
      <c r="W1379" s="46"/>
      <c r="X1379" s="46"/>
      <c r="Y1379" s="46"/>
      <c r="Z1379" s="46"/>
      <c r="AA1379" s="46"/>
    </row>
    <row r="1380">
      <c r="A1380" s="46"/>
      <c r="B1380" s="46"/>
      <c r="C1380" s="46"/>
      <c r="D1380" s="46"/>
      <c r="E1380" s="46"/>
      <c r="F1380" s="46"/>
      <c r="G1380" s="46"/>
      <c r="H1380" s="46"/>
      <c r="I1380" s="46"/>
      <c r="J1380" s="46"/>
      <c r="K1380" s="46"/>
      <c r="L1380" s="46"/>
      <c r="M1380" s="46"/>
      <c r="N1380" s="46"/>
      <c r="O1380" s="46"/>
      <c r="P1380" s="46"/>
      <c r="Q1380" s="46"/>
      <c r="R1380" s="46"/>
      <c r="S1380" s="46"/>
      <c r="T1380" s="46"/>
      <c r="U1380" s="46"/>
      <c r="V1380" s="46"/>
      <c r="W1380" s="46"/>
      <c r="X1380" s="46"/>
      <c r="Y1380" s="46"/>
      <c r="Z1380" s="46"/>
      <c r="AA1380" s="46"/>
    </row>
    <row r="1381">
      <c r="A1381" s="46"/>
      <c r="B1381" s="46"/>
      <c r="C1381" s="46"/>
      <c r="D1381" s="46"/>
      <c r="E1381" s="46"/>
      <c r="F1381" s="46"/>
      <c r="G1381" s="46"/>
      <c r="H1381" s="46"/>
      <c r="I1381" s="46"/>
      <c r="J1381" s="46"/>
      <c r="K1381" s="46"/>
      <c r="L1381" s="46"/>
      <c r="M1381" s="46"/>
      <c r="N1381" s="46"/>
      <c r="O1381" s="46"/>
      <c r="P1381" s="46"/>
      <c r="Q1381" s="46"/>
      <c r="R1381" s="46"/>
      <c r="S1381" s="46"/>
      <c r="T1381" s="46"/>
      <c r="U1381" s="46"/>
      <c r="V1381" s="46"/>
      <c r="W1381" s="46"/>
      <c r="X1381" s="46"/>
      <c r="Y1381" s="46"/>
      <c r="Z1381" s="46"/>
      <c r="AA1381" s="46"/>
    </row>
    <row r="1382">
      <c r="A1382" s="46"/>
      <c r="B1382" s="46"/>
      <c r="C1382" s="46"/>
      <c r="D1382" s="46"/>
      <c r="E1382" s="46"/>
      <c r="F1382" s="46"/>
      <c r="G1382" s="46"/>
      <c r="H1382" s="46"/>
      <c r="I1382" s="46"/>
      <c r="J1382" s="46"/>
      <c r="K1382" s="46"/>
      <c r="L1382" s="46"/>
      <c r="M1382" s="46"/>
      <c r="N1382" s="46"/>
      <c r="O1382" s="46"/>
      <c r="P1382" s="46"/>
      <c r="Q1382" s="46"/>
      <c r="R1382" s="46"/>
      <c r="S1382" s="46"/>
      <c r="T1382" s="46"/>
      <c r="U1382" s="46"/>
      <c r="V1382" s="46"/>
      <c r="W1382" s="46"/>
      <c r="X1382" s="46"/>
      <c r="Y1382" s="46"/>
      <c r="Z1382" s="46"/>
      <c r="AA1382" s="46"/>
    </row>
    <row r="1383">
      <c r="A1383" s="46"/>
      <c r="B1383" s="46"/>
      <c r="C1383" s="46"/>
      <c r="D1383" s="46"/>
      <c r="E1383" s="46"/>
      <c r="F1383" s="46"/>
      <c r="G1383" s="46"/>
      <c r="H1383" s="46"/>
      <c r="I1383" s="46"/>
      <c r="J1383" s="46"/>
      <c r="K1383" s="46"/>
      <c r="L1383" s="46"/>
      <c r="M1383" s="46"/>
      <c r="N1383" s="46"/>
      <c r="O1383" s="46"/>
      <c r="P1383" s="46"/>
      <c r="Q1383" s="46"/>
      <c r="R1383" s="46"/>
      <c r="S1383" s="46"/>
      <c r="T1383" s="46"/>
      <c r="U1383" s="46"/>
      <c r="V1383" s="46"/>
      <c r="W1383" s="46"/>
      <c r="X1383" s="46"/>
      <c r="Y1383" s="46"/>
      <c r="Z1383" s="46"/>
      <c r="AA1383" s="46"/>
    </row>
    <row r="1384">
      <c r="A1384" s="46"/>
      <c r="B1384" s="46"/>
      <c r="C1384" s="46"/>
      <c r="D1384" s="46"/>
      <c r="E1384" s="46"/>
      <c r="F1384" s="46"/>
      <c r="G1384" s="46"/>
      <c r="H1384" s="46"/>
      <c r="I1384" s="46"/>
      <c r="J1384" s="46"/>
      <c r="K1384" s="46"/>
      <c r="L1384" s="46"/>
      <c r="M1384" s="46"/>
      <c r="N1384" s="46"/>
      <c r="O1384" s="46"/>
      <c r="P1384" s="46"/>
      <c r="Q1384" s="46"/>
      <c r="R1384" s="46"/>
      <c r="S1384" s="46"/>
      <c r="T1384" s="46"/>
      <c r="U1384" s="46"/>
      <c r="V1384" s="46"/>
      <c r="W1384" s="46"/>
      <c r="X1384" s="46"/>
      <c r="Y1384" s="46"/>
      <c r="Z1384" s="46"/>
      <c r="AA1384" s="46"/>
    </row>
    <row r="1385">
      <c r="A1385" s="46"/>
      <c r="B1385" s="46"/>
      <c r="C1385" s="46"/>
      <c r="D1385" s="46"/>
      <c r="E1385" s="46"/>
      <c r="F1385" s="46"/>
      <c r="G1385" s="46"/>
      <c r="H1385" s="46"/>
      <c r="I1385" s="46"/>
      <c r="J1385" s="46"/>
      <c r="K1385" s="46"/>
      <c r="L1385" s="46"/>
      <c r="M1385" s="46"/>
      <c r="N1385" s="46"/>
      <c r="O1385" s="46"/>
      <c r="P1385" s="46"/>
      <c r="Q1385" s="46"/>
      <c r="R1385" s="46"/>
      <c r="S1385" s="46"/>
      <c r="T1385" s="46"/>
      <c r="U1385" s="46"/>
      <c r="V1385" s="46"/>
      <c r="W1385" s="46"/>
      <c r="X1385" s="46"/>
      <c r="Y1385" s="46"/>
      <c r="Z1385" s="46"/>
      <c r="AA1385" s="46"/>
    </row>
    <row r="1386">
      <c r="A1386" s="46"/>
      <c r="B1386" s="46"/>
      <c r="C1386" s="46"/>
      <c r="D1386" s="46"/>
      <c r="E1386" s="46"/>
      <c r="F1386" s="46"/>
      <c r="G1386" s="46"/>
      <c r="H1386" s="46"/>
      <c r="I1386" s="46"/>
      <c r="J1386" s="46"/>
      <c r="K1386" s="46"/>
      <c r="L1386" s="46"/>
      <c r="M1386" s="46"/>
      <c r="N1386" s="46"/>
      <c r="O1386" s="46"/>
      <c r="P1386" s="46"/>
      <c r="Q1386" s="46"/>
      <c r="R1386" s="46"/>
      <c r="S1386" s="46"/>
      <c r="T1386" s="46"/>
      <c r="U1386" s="46"/>
      <c r="V1386" s="46"/>
      <c r="W1386" s="46"/>
      <c r="X1386" s="46"/>
      <c r="Y1386" s="46"/>
      <c r="Z1386" s="46"/>
      <c r="AA1386" s="46"/>
    </row>
    <row r="1387">
      <c r="A1387" s="46"/>
      <c r="B1387" s="46"/>
      <c r="C1387" s="46"/>
      <c r="D1387" s="46"/>
      <c r="E1387" s="46"/>
      <c r="F1387" s="46"/>
      <c r="G1387" s="46"/>
      <c r="H1387" s="46"/>
      <c r="I1387" s="46"/>
      <c r="J1387" s="46"/>
      <c r="K1387" s="46"/>
      <c r="L1387" s="46"/>
      <c r="M1387" s="46"/>
      <c r="N1387" s="46"/>
      <c r="O1387" s="46"/>
      <c r="P1387" s="46"/>
      <c r="Q1387" s="46"/>
      <c r="R1387" s="46"/>
      <c r="S1387" s="46"/>
      <c r="T1387" s="46"/>
      <c r="U1387" s="46"/>
      <c r="V1387" s="46"/>
      <c r="W1387" s="46"/>
      <c r="X1387" s="46"/>
      <c r="Y1387" s="46"/>
      <c r="Z1387" s="46"/>
      <c r="AA1387" s="46"/>
    </row>
    <row r="1388">
      <c r="A1388" s="46"/>
      <c r="B1388" s="46"/>
      <c r="C1388" s="46"/>
      <c r="D1388" s="46"/>
      <c r="E1388" s="46"/>
      <c r="F1388" s="46"/>
      <c r="G1388" s="46"/>
      <c r="H1388" s="46"/>
      <c r="I1388" s="46"/>
      <c r="J1388" s="46"/>
      <c r="K1388" s="46"/>
      <c r="L1388" s="46"/>
      <c r="M1388" s="46"/>
      <c r="N1388" s="46"/>
      <c r="O1388" s="46"/>
      <c r="P1388" s="46"/>
      <c r="Q1388" s="46"/>
      <c r="R1388" s="46"/>
      <c r="S1388" s="46"/>
      <c r="T1388" s="46"/>
      <c r="U1388" s="46"/>
      <c r="V1388" s="46"/>
      <c r="W1388" s="46"/>
      <c r="X1388" s="46"/>
      <c r="Y1388" s="46"/>
      <c r="Z1388" s="46"/>
      <c r="AA1388" s="46"/>
    </row>
    <row r="1389">
      <c r="A1389" s="46"/>
      <c r="B1389" s="46"/>
      <c r="C1389" s="46"/>
      <c r="D1389" s="46"/>
      <c r="E1389" s="46"/>
      <c r="F1389" s="46"/>
      <c r="G1389" s="46"/>
      <c r="H1389" s="46"/>
      <c r="I1389" s="46"/>
      <c r="J1389" s="46"/>
      <c r="K1389" s="46"/>
      <c r="L1389" s="46"/>
      <c r="M1389" s="46"/>
      <c r="N1389" s="46"/>
      <c r="O1389" s="46"/>
      <c r="P1389" s="46"/>
      <c r="Q1389" s="46"/>
      <c r="R1389" s="46"/>
      <c r="S1389" s="46"/>
      <c r="T1389" s="46"/>
      <c r="U1389" s="46"/>
      <c r="V1389" s="46"/>
      <c r="W1389" s="46"/>
      <c r="X1389" s="46"/>
      <c r="Y1389" s="46"/>
      <c r="Z1389" s="46"/>
      <c r="AA1389" s="46"/>
    </row>
    <row r="1390">
      <c r="A1390" s="46"/>
      <c r="B1390" s="46"/>
      <c r="C1390" s="46"/>
      <c r="D1390" s="46"/>
      <c r="E1390" s="46"/>
      <c r="F1390" s="46"/>
      <c r="G1390" s="46"/>
      <c r="H1390" s="46"/>
      <c r="I1390" s="46"/>
      <c r="J1390" s="46"/>
      <c r="K1390" s="46"/>
      <c r="L1390" s="46"/>
      <c r="M1390" s="46"/>
      <c r="N1390" s="46"/>
      <c r="O1390" s="46"/>
      <c r="P1390" s="46"/>
      <c r="Q1390" s="46"/>
      <c r="R1390" s="46"/>
      <c r="S1390" s="46"/>
      <c r="T1390" s="46"/>
      <c r="U1390" s="46"/>
      <c r="V1390" s="46"/>
      <c r="W1390" s="46"/>
      <c r="X1390" s="46"/>
      <c r="Y1390" s="46"/>
      <c r="Z1390" s="46"/>
      <c r="AA1390" s="46"/>
    </row>
    <row r="1391">
      <c r="A1391" s="46"/>
      <c r="B1391" s="46"/>
      <c r="C1391" s="46"/>
      <c r="D1391" s="46"/>
      <c r="E1391" s="46"/>
      <c r="F1391" s="46"/>
      <c r="G1391" s="46"/>
      <c r="H1391" s="46"/>
      <c r="I1391" s="46"/>
      <c r="J1391" s="46"/>
      <c r="K1391" s="46"/>
      <c r="L1391" s="46"/>
      <c r="M1391" s="46"/>
      <c r="N1391" s="46"/>
      <c r="O1391" s="46"/>
      <c r="P1391" s="46"/>
      <c r="Q1391" s="46"/>
      <c r="R1391" s="46"/>
      <c r="S1391" s="46"/>
      <c r="T1391" s="46"/>
      <c r="U1391" s="46"/>
      <c r="V1391" s="46"/>
      <c r="W1391" s="46"/>
      <c r="X1391" s="46"/>
      <c r="Y1391" s="46"/>
      <c r="Z1391" s="46"/>
      <c r="AA1391" s="46"/>
    </row>
    <row r="1392">
      <c r="A1392" s="46"/>
      <c r="B1392" s="46"/>
      <c r="C1392" s="46"/>
      <c r="D1392" s="46"/>
      <c r="E1392" s="46"/>
      <c r="F1392" s="46"/>
      <c r="G1392" s="46"/>
      <c r="H1392" s="46"/>
      <c r="I1392" s="46"/>
      <c r="J1392" s="46"/>
      <c r="K1392" s="46"/>
      <c r="L1392" s="46"/>
      <c r="M1392" s="46"/>
      <c r="N1392" s="46"/>
      <c r="O1392" s="46"/>
      <c r="P1392" s="46"/>
      <c r="Q1392" s="46"/>
      <c r="R1392" s="46"/>
      <c r="S1392" s="46"/>
      <c r="T1392" s="46"/>
      <c r="U1392" s="46"/>
      <c r="V1392" s="46"/>
      <c r="W1392" s="46"/>
      <c r="X1392" s="46"/>
      <c r="Y1392" s="46"/>
      <c r="Z1392" s="46"/>
      <c r="AA1392" s="46"/>
    </row>
    <row r="1393">
      <c r="A1393" s="46"/>
      <c r="B1393" s="46"/>
      <c r="C1393" s="46"/>
      <c r="D1393" s="46"/>
      <c r="E1393" s="46"/>
      <c r="F1393" s="46"/>
      <c r="G1393" s="46"/>
      <c r="H1393" s="46"/>
      <c r="I1393" s="46"/>
      <c r="J1393" s="46"/>
      <c r="K1393" s="46"/>
      <c r="L1393" s="46"/>
      <c r="M1393" s="46"/>
      <c r="N1393" s="46"/>
      <c r="O1393" s="46"/>
      <c r="P1393" s="46"/>
      <c r="Q1393" s="46"/>
      <c r="R1393" s="46"/>
      <c r="S1393" s="46"/>
      <c r="T1393" s="46"/>
      <c r="U1393" s="46"/>
      <c r="V1393" s="46"/>
      <c r="W1393" s="46"/>
      <c r="X1393" s="46"/>
      <c r="Y1393" s="46"/>
      <c r="Z1393" s="46"/>
      <c r="AA1393" s="46"/>
    </row>
    <row r="1394">
      <c r="A1394" s="46"/>
      <c r="B1394" s="46"/>
      <c r="C1394" s="46"/>
      <c r="D1394" s="46"/>
      <c r="E1394" s="46"/>
      <c r="F1394" s="46"/>
      <c r="G1394" s="46"/>
      <c r="H1394" s="46"/>
      <c r="I1394" s="46"/>
      <c r="J1394" s="46"/>
      <c r="K1394" s="46"/>
      <c r="L1394" s="46"/>
      <c r="M1394" s="46"/>
      <c r="N1394" s="46"/>
      <c r="O1394" s="46"/>
      <c r="P1394" s="46"/>
      <c r="Q1394" s="46"/>
      <c r="R1394" s="46"/>
      <c r="S1394" s="46"/>
      <c r="T1394" s="46"/>
      <c r="U1394" s="46"/>
      <c r="V1394" s="46"/>
      <c r="W1394" s="46"/>
      <c r="X1394" s="46"/>
      <c r="Y1394" s="46"/>
      <c r="Z1394" s="46"/>
      <c r="AA1394" s="46"/>
    </row>
    <row r="1395">
      <c r="A1395" s="46"/>
      <c r="B1395" s="46"/>
      <c r="C1395" s="46"/>
      <c r="D1395" s="46"/>
      <c r="E1395" s="46"/>
      <c r="F1395" s="46"/>
      <c r="G1395" s="46"/>
      <c r="H1395" s="46"/>
      <c r="I1395" s="46"/>
      <c r="J1395" s="46"/>
      <c r="K1395" s="46"/>
      <c r="L1395" s="46"/>
      <c r="M1395" s="46"/>
      <c r="N1395" s="46"/>
      <c r="O1395" s="46"/>
      <c r="P1395" s="46"/>
      <c r="Q1395" s="46"/>
      <c r="R1395" s="46"/>
      <c r="S1395" s="46"/>
      <c r="T1395" s="46"/>
      <c r="U1395" s="46"/>
      <c r="V1395" s="46"/>
      <c r="W1395" s="46"/>
      <c r="X1395" s="46"/>
      <c r="Y1395" s="46"/>
      <c r="Z1395" s="46"/>
      <c r="AA1395" s="46"/>
    </row>
    <row r="1396">
      <c r="A1396" s="46"/>
      <c r="B1396" s="46"/>
      <c r="C1396" s="46"/>
      <c r="D1396" s="46"/>
      <c r="E1396" s="46"/>
      <c r="F1396" s="46"/>
      <c r="G1396" s="46"/>
      <c r="H1396" s="46"/>
      <c r="I1396" s="46"/>
      <c r="J1396" s="46"/>
      <c r="K1396" s="46"/>
      <c r="L1396" s="46"/>
      <c r="M1396" s="46"/>
      <c r="N1396" s="46"/>
      <c r="O1396" s="46"/>
      <c r="P1396" s="46"/>
      <c r="Q1396" s="46"/>
      <c r="R1396" s="46"/>
      <c r="S1396" s="46"/>
      <c r="T1396" s="46"/>
      <c r="U1396" s="46"/>
      <c r="V1396" s="46"/>
      <c r="W1396" s="46"/>
      <c r="X1396" s="46"/>
      <c r="Y1396" s="46"/>
      <c r="Z1396" s="46"/>
      <c r="AA1396" s="46"/>
    </row>
    <row r="1397">
      <c r="A1397" s="46"/>
      <c r="B1397" s="46"/>
      <c r="C1397" s="46"/>
      <c r="D1397" s="46"/>
      <c r="E1397" s="46"/>
      <c r="F1397" s="46"/>
      <c r="G1397" s="46"/>
      <c r="H1397" s="46"/>
      <c r="I1397" s="46"/>
      <c r="J1397" s="46"/>
      <c r="K1397" s="46"/>
      <c r="L1397" s="46"/>
      <c r="M1397" s="46"/>
      <c r="N1397" s="46"/>
      <c r="O1397" s="46"/>
      <c r="P1397" s="46"/>
      <c r="Q1397" s="46"/>
      <c r="R1397" s="46"/>
      <c r="S1397" s="46"/>
      <c r="T1397" s="46"/>
      <c r="U1397" s="46"/>
      <c r="V1397" s="46"/>
      <c r="W1397" s="46"/>
      <c r="X1397" s="46"/>
      <c r="Y1397" s="46"/>
      <c r="Z1397" s="46"/>
      <c r="AA1397" s="46"/>
    </row>
    <row r="1398">
      <c r="A1398" s="46"/>
      <c r="B1398" s="46"/>
      <c r="C1398" s="46"/>
      <c r="D1398" s="46"/>
      <c r="E1398" s="46"/>
      <c r="F1398" s="46"/>
      <c r="G1398" s="46"/>
      <c r="H1398" s="46"/>
      <c r="I1398" s="46"/>
      <c r="J1398" s="46"/>
      <c r="K1398" s="46"/>
      <c r="L1398" s="46"/>
      <c r="M1398" s="46"/>
      <c r="N1398" s="46"/>
      <c r="O1398" s="46"/>
      <c r="P1398" s="46"/>
      <c r="Q1398" s="46"/>
      <c r="R1398" s="46"/>
      <c r="S1398" s="46"/>
      <c r="T1398" s="46"/>
      <c r="U1398" s="46"/>
      <c r="V1398" s="46"/>
      <c r="W1398" s="46"/>
      <c r="X1398" s="46"/>
      <c r="Y1398" s="46"/>
      <c r="Z1398" s="46"/>
      <c r="AA1398" s="46"/>
    </row>
    <row r="1399">
      <c r="A1399" s="46"/>
      <c r="B1399" s="46"/>
      <c r="C1399" s="46"/>
      <c r="D1399" s="46"/>
      <c r="E1399" s="46"/>
      <c r="F1399" s="46"/>
      <c r="G1399" s="46"/>
      <c r="H1399" s="46"/>
      <c r="I1399" s="46"/>
      <c r="J1399" s="46"/>
      <c r="K1399" s="46"/>
      <c r="L1399" s="46"/>
      <c r="M1399" s="46"/>
      <c r="N1399" s="46"/>
      <c r="O1399" s="46"/>
      <c r="P1399" s="46"/>
      <c r="Q1399" s="46"/>
      <c r="R1399" s="46"/>
      <c r="S1399" s="46"/>
      <c r="T1399" s="46"/>
      <c r="U1399" s="46"/>
      <c r="V1399" s="46"/>
      <c r="W1399" s="46"/>
      <c r="X1399" s="46"/>
      <c r="Y1399" s="46"/>
      <c r="Z1399" s="46"/>
      <c r="AA1399" s="46"/>
    </row>
    <row r="1400">
      <c r="A1400" s="46"/>
      <c r="B1400" s="46"/>
      <c r="C1400" s="46"/>
      <c r="D1400" s="46"/>
      <c r="E1400" s="46"/>
      <c r="F1400" s="46"/>
      <c r="G1400" s="46"/>
      <c r="H1400" s="46"/>
      <c r="I1400" s="46"/>
      <c r="J1400" s="46"/>
      <c r="K1400" s="46"/>
      <c r="L1400" s="46"/>
      <c r="M1400" s="46"/>
      <c r="N1400" s="46"/>
      <c r="O1400" s="46"/>
      <c r="P1400" s="46"/>
      <c r="Q1400" s="46"/>
      <c r="R1400" s="46"/>
      <c r="S1400" s="46"/>
      <c r="T1400" s="46"/>
      <c r="U1400" s="46"/>
      <c r="V1400" s="46"/>
      <c r="W1400" s="46"/>
      <c r="X1400" s="46"/>
      <c r="Y1400" s="46"/>
      <c r="Z1400" s="46"/>
      <c r="AA1400" s="46"/>
    </row>
    <row r="1401">
      <c r="A1401" s="46"/>
      <c r="B1401" s="46"/>
      <c r="C1401" s="46"/>
      <c r="D1401" s="46"/>
      <c r="E1401" s="46"/>
      <c r="F1401" s="46"/>
      <c r="G1401" s="46"/>
      <c r="H1401" s="46"/>
      <c r="I1401" s="46"/>
      <c r="J1401" s="46"/>
      <c r="K1401" s="46"/>
      <c r="L1401" s="46"/>
      <c r="M1401" s="46"/>
      <c r="N1401" s="46"/>
      <c r="O1401" s="46"/>
      <c r="P1401" s="46"/>
      <c r="Q1401" s="46"/>
      <c r="R1401" s="46"/>
      <c r="S1401" s="46"/>
      <c r="T1401" s="46"/>
      <c r="U1401" s="46"/>
      <c r="V1401" s="46"/>
      <c r="W1401" s="46"/>
      <c r="X1401" s="46"/>
      <c r="Y1401" s="46"/>
      <c r="Z1401" s="46"/>
      <c r="AA1401" s="46"/>
    </row>
    <row r="1402">
      <c r="A1402" s="46"/>
      <c r="B1402" s="46"/>
      <c r="C1402" s="46"/>
      <c r="D1402" s="46"/>
      <c r="E1402" s="46"/>
      <c r="F1402" s="46"/>
      <c r="G1402" s="46"/>
      <c r="H1402" s="46"/>
      <c r="I1402" s="46"/>
      <c r="J1402" s="46"/>
      <c r="K1402" s="46"/>
      <c r="L1402" s="46"/>
      <c r="M1402" s="46"/>
      <c r="N1402" s="46"/>
      <c r="O1402" s="46"/>
      <c r="P1402" s="46"/>
      <c r="Q1402" s="46"/>
      <c r="R1402" s="46"/>
      <c r="S1402" s="46"/>
      <c r="T1402" s="46"/>
      <c r="U1402" s="46"/>
      <c r="V1402" s="46"/>
      <c r="W1402" s="46"/>
      <c r="X1402" s="46"/>
      <c r="Y1402" s="46"/>
      <c r="Z1402" s="46"/>
      <c r="AA1402" s="46"/>
    </row>
    <row r="1403">
      <c r="A1403" s="46"/>
      <c r="B1403" s="46"/>
      <c r="C1403" s="46"/>
      <c r="D1403" s="46"/>
      <c r="E1403" s="46"/>
      <c r="F1403" s="46"/>
      <c r="G1403" s="46"/>
      <c r="H1403" s="46"/>
      <c r="I1403" s="46"/>
      <c r="J1403" s="46"/>
      <c r="K1403" s="46"/>
      <c r="L1403" s="46"/>
      <c r="M1403" s="46"/>
      <c r="N1403" s="46"/>
      <c r="O1403" s="46"/>
      <c r="P1403" s="46"/>
      <c r="Q1403" s="46"/>
      <c r="R1403" s="46"/>
      <c r="S1403" s="46"/>
      <c r="T1403" s="46"/>
      <c r="U1403" s="46"/>
      <c r="V1403" s="46"/>
      <c r="W1403" s="46"/>
      <c r="X1403" s="46"/>
      <c r="Y1403" s="46"/>
      <c r="Z1403" s="46"/>
      <c r="AA1403" s="46"/>
    </row>
    <row r="1404">
      <c r="A1404" s="46"/>
      <c r="B1404" s="46"/>
      <c r="C1404" s="46"/>
      <c r="D1404" s="46"/>
      <c r="E1404" s="46"/>
      <c r="F1404" s="46"/>
      <c r="G1404" s="46"/>
      <c r="H1404" s="46"/>
      <c r="I1404" s="46"/>
      <c r="J1404" s="46"/>
      <c r="K1404" s="46"/>
      <c r="L1404" s="46"/>
      <c r="M1404" s="46"/>
      <c r="N1404" s="46"/>
      <c r="O1404" s="46"/>
      <c r="P1404" s="46"/>
      <c r="Q1404" s="46"/>
      <c r="R1404" s="46"/>
      <c r="S1404" s="46"/>
      <c r="T1404" s="46"/>
      <c r="U1404" s="46"/>
      <c r="V1404" s="46"/>
      <c r="W1404" s="46"/>
      <c r="X1404" s="46"/>
      <c r="Y1404" s="46"/>
      <c r="Z1404" s="46"/>
      <c r="AA1404" s="46"/>
    </row>
    <row r="1405">
      <c r="A1405" s="46"/>
      <c r="B1405" s="46"/>
      <c r="C1405" s="46"/>
      <c r="D1405" s="46"/>
      <c r="E1405" s="46"/>
      <c r="F1405" s="46"/>
      <c r="G1405" s="46"/>
      <c r="H1405" s="46"/>
      <c r="I1405" s="46"/>
      <c r="J1405" s="46"/>
      <c r="K1405" s="46"/>
      <c r="L1405" s="46"/>
      <c r="M1405" s="46"/>
      <c r="N1405" s="46"/>
      <c r="O1405" s="46"/>
      <c r="P1405" s="46"/>
      <c r="Q1405" s="46"/>
      <c r="R1405" s="46"/>
      <c r="S1405" s="46"/>
      <c r="T1405" s="46"/>
      <c r="U1405" s="46"/>
      <c r="V1405" s="46"/>
      <c r="W1405" s="46"/>
      <c r="X1405" s="46"/>
      <c r="Y1405" s="46"/>
      <c r="Z1405" s="46"/>
      <c r="AA1405" s="46"/>
    </row>
    <row r="1406">
      <c r="A1406" s="46"/>
      <c r="B1406" s="46"/>
      <c r="C1406" s="46"/>
      <c r="D1406" s="46"/>
      <c r="E1406" s="46"/>
      <c r="F1406" s="46"/>
      <c r="G1406" s="46"/>
      <c r="H1406" s="46"/>
      <c r="I1406" s="46"/>
      <c r="J1406" s="46"/>
      <c r="K1406" s="46"/>
      <c r="L1406" s="46"/>
      <c r="M1406" s="46"/>
      <c r="N1406" s="46"/>
      <c r="O1406" s="46"/>
      <c r="P1406" s="46"/>
      <c r="Q1406" s="46"/>
      <c r="R1406" s="46"/>
      <c r="S1406" s="46"/>
      <c r="T1406" s="46"/>
      <c r="U1406" s="46"/>
      <c r="V1406" s="46"/>
      <c r="W1406" s="46"/>
      <c r="X1406" s="46"/>
      <c r="Y1406" s="46"/>
      <c r="Z1406" s="46"/>
      <c r="AA1406" s="46"/>
    </row>
    <row r="1407">
      <c r="A1407" s="46"/>
      <c r="B1407" s="46"/>
      <c r="C1407" s="46"/>
      <c r="D1407" s="46"/>
      <c r="E1407" s="46"/>
      <c r="F1407" s="46"/>
      <c r="G1407" s="46"/>
      <c r="H1407" s="46"/>
      <c r="I1407" s="46"/>
      <c r="J1407" s="46"/>
      <c r="K1407" s="46"/>
      <c r="L1407" s="46"/>
      <c r="M1407" s="46"/>
      <c r="N1407" s="46"/>
      <c r="O1407" s="46"/>
      <c r="P1407" s="46"/>
      <c r="Q1407" s="46"/>
      <c r="R1407" s="46"/>
      <c r="S1407" s="46"/>
      <c r="T1407" s="46"/>
      <c r="U1407" s="46"/>
      <c r="V1407" s="46"/>
      <c r="W1407" s="46"/>
      <c r="X1407" s="46"/>
      <c r="Y1407" s="46"/>
      <c r="Z1407" s="46"/>
      <c r="AA1407" s="46"/>
    </row>
    <row r="1408">
      <c r="A1408" s="46"/>
      <c r="B1408" s="46"/>
      <c r="C1408" s="46"/>
      <c r="D1408" s="46"/>
      <c r="E1408" s="46"/>
      <c r="F1408" s="46"/>
      <c r="G1408" s="46"/>
      <c r="H1408" s="46"/>
      <c r="I1408" s="46"/>
      <c r="J1408" s="46"/>
      <c r="K1408" s="46"/>
      <c r="L1408" s="46"/>
      <c r="M1408" s="46"/>
      <c r="N1408" s="46"/>
      <c r="O1408" s="46"/>
      <c r="P1408" s="46"/>
      <c r="Q1408" s="46"/>
      <c r="R1408" s="46"/>
      <c r="S1408" s="46"/>
      <c r="T1408" s="46"/>
      <c r="U1408" s="46"/>
      <c r="V1408" s="46"/>
      <c r="W1408" s="46"/>
      <c r="X1408" s="46"/>
      <c r="Y1408" s="46"/>
      <c r="Z1408" s="46"/>
      <c r="AA1408" s="46"/>
    </row>
    <row r="1409">
      <c r="A1409" s="46"/>
      <c r="B1409" s="46"/>
      <c r="C1409" s="46"/>
      <c r="D1409" s="46"/>
      <c r="E1409" s="46"/>
      <c r="F1409" s="46"/>
      <c r="G1409" s="46"/>
      <c r="H1409" s="46"/>
      <c r="I1409" s="46"/>
      <c r="J1409" s="46"/>
      <c r="K1409" s="46"/>
      <c r="L1409" s="46"/>
      <c r="M1409" s="46"/>
      <c r="N1409" s="46"/>
      <c r="O1409" s="46"/>
      <c r="P1409" s="46"/>
      <c r="Q1409" s="46"/>
      <c r="R1409" s="46"/>
      <c r="S1409" s="46"/>
      <c r="T1409" s="46"/>
      <c r="U1409" s="46"/>
      <c r="V1409" s="46"/>
      <c r="W1409" s="46"/>
      <c r="X1409" s="46"/>
      <c r="Y1409" s="46"/>
      <c r="Z1409" s="46"/>
      <c r="AA1409" s="46"/>
    </row>
    <row r="1410">
      <c r="A1410" s="46"/>
      <c r="B1410" s="46"/>
      <c r="C1410" s="46"/>
      <c r="D1410" s="46"/>
      <c r="E1410" s="46"/>
      <c r="F1410" s="46"/>
      <c r="G1410" s="46"/>
      <c r="H1410" s="46"/>
      <c r="I1410" s="46"/>
      <c r="J1410" s="46"/>
      <c r="K1410" s="46"/>
      <c r="L1410" s="46"/>
      <c r="M1410" s="46"/>
      <c r="N1410" s="46"/>
      <c r="O1410" s="46"/>
      <c r="P1410" s="46"/>
      <c r="Q1410" s="46"/>
      <c r="R1410" s="46"/>
      <c r="S1410" s="46"/>
      <c r="T1410" s="46"/>
      <c r="U1410" s="46"/>
      <c r="V1410" s="46"/>
      <c r="W1410" s="46"/>
      <c r="X1410" s="46"/>
      <c r="Y1410" s="46"/>
      <c r="Z1410" s="46"/>
      <c r="AA1410" s="46"/>
    </row>
    <row r="1411">
      <c r="A1411" s="46"/>
      <c r="B1411" s="46"/>
      <c r="C1411" s="46"/>
      <c r="D1411" s="46"/>
      <c r="E1411" s="46"/>
      <c r="F1411" s="46"/>
      <c r="G1411" s="46"/>
      <c r="H1411" s="46"/>
      <c r="I1411" s="46"/>
      <c r="J1411" s="46"/>
      <c r="K1411" s="46"/>
      <c r="L1411" s="46"/>
      <c r="M1411" s="46"/>
      <c r="N1411" s="46"/>
      <c r="O1411" s="46"/>
      <c r="P1411" s="46"/>
      <c r="Q1411" s="46"/>
      <c r="R1411" s="46"/>
      <c r="S1411" s="46"/>
      <c r="T1411" s="46"/>
      <c r="U1411" s="46"/>
      <c r="V1411" s="46"/>
      <c r="W1411" s="46"/>
      <c r="X1411" s="46"/>
      <c r="Y1411" s="46"/>
      <c r="Z1411" s="46"/>
      <c r="AA1411" s="46"/>
    </row>
    <row r="1412">
      <c r="A1412" s="46"/>
      <c r="B1412" s="46"/>
      <c r="C1412" s="46"/>
      <c r="D1412" s="46"/>
      <c r="E1412" s="46"/>
      <c r="F1412" s="46"/>
      <c r="G1412" s="46"/>
      <c r="H1412" s="46"/>
      <c r="I1412" s="46"/>
      <c r="J1412" s="46"/>
      <c r="K1412" s="46"/>
      <c r="L1412" s="46"/>
      <c r="M1412" s="46"/>
      <c r="N1412" s="46"/>
      <c r="O1412" s="46"/>
      <c r="P1412" s="46"/>
      <c r="Q1412" s="46"/>
      <c r="R1412" s="46"/>
      <c r="S1412" s="46"/>
      <c r="T1412" s="46"/>
      <c r="U1412" s="46"/>
      <c r="V1412" s="46"/>
      <c r="W1412" s="46"/>
      <c r="X1412" s="46"/>
      <c r="Y1412" s="46"/>
      <c r="Z1412" s="46"/>
      <c r="AA1412" s="46"/>
    </row>
    <row r="1413">
      <c r="A1413" s="46"/>
      <c r="B1413" s="46"/>
      <c r="C1413" s="46"/>
      <c r="D1413" s="46"/>
      <c r="E1413" s="46"/>
      <c r="F1413" s="46"/>
      <c r="G1413" s="46"/>
      <c r="H1413" s="46"/>
      <c r="I1413" s="46"/>
      <c r="J1413" s="46"/>
      <c r="K1413" s="46"/>
      <c r="L1413" s="46"/>
      <c r="M1413" s="46"/>
      <c r="N1413" s="46"/>
      <c r="O1413" s="46"/>
      <c r="P1413" s="46"/>
      <c r="Q1413" s="46"/>
      <c r="R1413" s="46"/>
      <c r="S1413" s="46"/>
      <c r="T1413" s="46"/>
      <c r="U1413" s="46"/>
      <c r="V1413" s="46"/>
      <c r="W1413" s="46"/>
      <c r="X1413" s="46"/>
      <c r="Y1413" s="46"/>
      <c r="Z1413" s="46"/>
      <c r="AA1413" s="46"/>
    </row>
    <row r="1414">
      <c r="A1414" s="46"/>
      <c r="B1414" s="46"/>
      <c r="C1414" s="46"/>
      <c r="D1414" s="46"/>
      <c r="E1414" s="46"/>
      <c r="F1414" s="46"/>
      <c r="G1414" s="46"/>
      <c r="H1414" s="46"/>
      <c r="I1414" s="46"/>
      <c r="J1414" s="46"/>
      <c r="K1414" s="46"/>
      <c r="L1414" s="46"/>
      <c r="M1414" s="46"/>
      <c r="N1414" s="46"/>
      <c r="O1414" s="46"/>
      <c r="P1414" s="46"/>
      <c r="Q1414" s="46"/>
      <c r="R1414" s="46"/>
      <c r="S1414" s="46"/>
      <c r="T1414" s="46"/>
      <c r="U1414" s="46"/>
      <c r="V1414" s="46"/>
      <c r="W1414" s="46"/>
      <c r="X1414" s="46"/>
      <c r="Y1414" s="46"/>
      <c r="Z1414" s="46"/>
      <c r="AA1414" s="46"/>
    </row>
    <row r="1415">
      <c r="A1415" s="46"/>
      <c r="B1415" s="46"/>
      <c r="C1415" s="46"/>
      <c r="D1415" s="46"/>
      <c r="E1415" s="46"/>
      <c r="F1415" s="46"/>
      <c r="G1415" s="46"/>
      <c r="H1415" s="46"/>
      <c r="I1415" s="46"/>
      <c r="J1415" s="46"/>
      <c r="K1415" s="46"/>
      <c r="L1415" s="46"/>
      <c r="M1415" s="46"/>
      <c r="N1415" s="46"/>
      <c r="O1415" s="46"/>
      <c r="P1415" s="46"/>
      <c r="Q1415" s="46"/>
      <c r="R1415" s="46"/>
      <c r="S1415" s="46"/>
      <c r="T1415" s="46"/>
      <c r="U1415" s="46"/>
      <c r="V1415" s="46"/>
      <c r="W1415" s="46"/>
      <c r="X1415" s="46"/>
      <c r="Y1415" s="46"/>
      <c r="Z1415" s="46"/>
      <c r="AA1415" s="46"/>
    </row>
    <row r="1416">
      <c r="A1416" s="46"/>
      <c r="B1416" s="46"/>
      <c r="C1416" s="46"/>
      <c r="D1416" s="46"/>
      <c r="E1416" s="46"/>
      <c r="F1416" s="46"/>
      <c r="G1416" s="46"/>
      <c r="H1416" s="46"/>
      <c r="I1416" s="46"/>
      <c r="J1416" s="46"/>
      <c r="K1416" s="46"/>
      <c r="L1416" s="46"/>
      <c r="M1416" s="46"/>
      <c r="N1416" s="46"/>
      <c r="O1416" s="46"/>
      <c r="P1416" s="46"/>
      <c r="Q1416" s="46"/>
      <c r="R1416" s="46"/>
      <c r="S1416" s="46"/>
      <c r="T1416" s="46"/>
      <c r="U1416" s="46"/>
      <c r="V1416" s="46"/>
      <c r="W1416" s="46"/>
      <c r="X1416" s="46"/>
      <c r="Y1416" s="46"/>
      <c r="Z1416" s="46"/>
      <c r="AA1416" s="46"/>
    </row>
    <row r="1417">
      <c r="A1417" s="46"/>
      <c r="B1417" s="46"/>
      <c r="C1417" s="46"/>
      <c r="D1417" s="46"/>
      <c r="E1417" s="46"/>
      <c r="F1417" s="46"/>
      <c r="G1417" s="46"/>
      <c r="H1417" s="46"/>
      <c r="I1417" s="46"/>
      <c r="J1417" s="46"/>
      <c r="K1417" s="46"/>
      <c r="L1417" s="46"/>
      <c r="M1417" s="46"/>
      <c r="N1417" s="46"/>
      <c r="O1417" s="46"/>
      <c r="P1417" s="46"/>
      <c r="Q1417" s="46"/>
      <c r="R1417" s="46"/>
      <c r="S1417" s="46"/>
      <c r="T1417" s="46"/>
      <c r="U1417" s="46"/>
      <c r="V1417" s="46"/>
      <c r="W1417" s="46"/>
      <c r="X1417" s="46"/>
      <c r="Y1417" s="46"/>
      <c r="Z1417" s="46"/>
      <c r="AA1417" s="46"/>
    </row>
    <row r="1418">
      <c r="A1418" s="46"/>
      <c r="B1418" s="46"/>
      <c r="C1418" s="46"/>
      <c r="D1418" s="46"/>
      <c r="E1418" s="46"/>
      <c r="F1418" s="46"/>
      <c r="G1418" s="46"/>
      <c r="H1418" s="46"/>
      <c r="I1418" s="46"/>
      <c r="J1418" s="46"/>
      <c r="K1418" s="46"/>
      <c r="L1418" s="46"/>
      <c r="M1418" s="46"/>
      <c r="N1418" s="46"/>
      <c r="O1418" s="46"/>
      <c r="P1418" s="46"/>
      <c r="Q1418" s="46"/>
      <c r="R1418" s="46"/>
      <c r="S1418" s="46"/>
      <c r="T1418" s="46"/>
      <c r="U1418" s="46"/>
      <c r="V1418" s="46"/>
      <c r="W1418" s="46"/>
      <c r="X1418" s="46"/>
      <c r="Y1418" s="46"/>
      <c r="Z1418" s="46"/>
      <c r="AA1418" s="46"/>
    </row>
    <row r="1419">
      <c r="A1419" s="46"/>
      <c r="B1419" s="46"/>
      <c r="C1419" s="46"/>
      <c r="D1419" s="46"/>
      <c r="E1419" s="46"/>
      <c r="F1419" s="46"/>
      <c r="G1419" s="46"/>
      <c r="H1419" s="46"/>
      <c r="I1419" s="46"/>
      <c r="J1419" s="46"/>
      <c r="K1419" s="46"/>
      <c r="L1419" s="46"/>
      <c r="M1419" s="46"/>
      <c r="N1419" s="46"/>
      <c r="O1419" s="46"/>
      <c r="P1419" s="46"/>
      <c r="Q1419" s="46"/>
      <c r="R1419" s="46"/>
      <c r="S1419" s="46"/>
      <c r="T1419" s="46"/>
      <c r="U1419" s="46"/>
      <c r="V1419" s="46"/>
      <c r="W1419" s="46"/>
      <c r="X1419" s="46"/>
      <c r="Y1419" s="46"/>
      <c r="Z1419" s="46"/>
      <c r="AA1419" s="46"/>
    </row>
    <row r="1420">
      <c r="A1420" s="46"/>
      <c r="B1420" s="46"/>
      <c r="C1420" s="46"/>
      <c r="D1420" s="46"/>
      <c r="E1420" s="46"/>
      <c r="F1420" s="46"/>
      <c r="G1420" s="46"/>
      <c r="H1420" s="46"/>
      <c r="I1420" s="46"/>
      <c r="J1420" s="46"/>
      <c r="K1420" s="46"/>
      <c r="L1420" s="46"/>
      <c r="M1420" s="46"/>
      <c r="N1420" s="46"/>
      <c r="O1420" s="46"/>
      <c r="P1420" s="46"/>
      <c r="Q1420" s="46"/>
      <c r="R1420" s="46"/>
      <c r="S1420" s="46"/>
      <c r="T1420" s="46"/>
      <c r="U1420" s="46"/>
      <c r="V1420" s="46"/>
      <c r="W1420" s="46"/>
      <c r="X1420" s="46"/>
      <c r="Y1420" s="46"/>
      <c r="Z1420" s="46"/>
      <c r="AA1420" s="46"/>
    </row>
    <row r="1421">
      <c r="A1421" s="46"/>
      <c r="B1421" s="46"/>
      <c r="C1421" s="46"/>
      <c r="D1421" s="46"/>
      <c r="E1421" s="46"/>
      <c r="F1421" s="46"/>
      <c r="G1421" s="46"/>
      <c r="H1421" s="46"/>
      <c r="I1421" s="46"/>
      <c r="J1421" s="46"/>
      <c r="K1421" s="46"/>
      <c r="L1421" s="46"/>
      <c r="M1421" s="46"/>
      <c r="N1421" s="46"/>
      <c r="O1421" s="46"/>
      <c r="P1421" s="46"/>
      <c r="Q1421" s="46"/>
      <c r="R1421" s="46"/>
      <c r="S1421" s="46"/>
      <c r="T1421" s="46"/>
      <c r="U1421" s="46"/>
      <c r="V1421" s="46"/>
      <c r="W1421" s="46"/>
      <c r="X1421" s="46"/>
      <c r="Y1421" s="46"/>
      <c r="Z1421" s="46"/>
      <c r="AA1421" s="46"/>
    </row>
    <row r="1422">
      <c r="A1422" s="46"/>
      <c r="B1422" s="46"/>
      <c r="C1422" s="46"/>
      <c r="D1422" s="46"/>
      <c r="E1422" s="46"/>
      <c r="F1422" s="46"/>
      <c r="G1422" s="46"/>
      <c r="H1422" s="46"/>
      <c r="I1422" s="46"/>
      <c r="J1422" s="46"/>
      <c r="K1422" s="46"/>
      <c r="L1422" s="46"/>
      <c r="M1422" s="46"/>
      <c r="N1422" s="46"/>
      <c r="O1422" s="46"/>
      <c r="P1422" s="46"/>
      <c r="Q1422" s="46"/>
      <c r="R1422" s="46"/>
      <c r="S1422" s="46"/>
      <c r="T1422" s="46"/>
      <c r="U1422" s="46"/>
      <c r="V1422" s="46"/>
      <c r="W1422" s="46"/>
      <c r="X1422" s="46"/>
      <c r="Y1422" s="46"/>
      <c r="Z1422" s="46"/>
      <c r="AA1422" s="46"/>
    </row>
    <row r="1423">
      <c r="A1423" s="46"/>
      <c r="B1423" s="46"/>
      <c r="C1423" s="46"/>
      <c r="D1423" s="46"/>
      <c r="E1423" s="46"/>
      <c r="F1423" s="46"/>
      <c r="G1423" s="46"/>
      <c r="H1423" s="46"/>
      <c r="I1423" s="46"/>
      <c r="J1423" s="46"/>
      <c r="K1423" s="46"/>
      <c r="L1423" s="46"/>
      <c r="M1423" s="46"/>
      <c r="N1423" s="46"/>
      <c r="O1423" s="46"/>
      <c r="P1423" s="46"/>
      <c r="Q1423" s="46"/>
      <c r="R1423" s="46"/>
      <c r="S1423" s="46"/>
      <c r="T1423" s="46"/>
      <c r="U1423" s="46"/>
      <c r="V1423" s="46"/>
      <c r="W1423" s="46"/>
      <c r="X1423" s="46"/>
      <c r="Y1423" s="46"/>
      <c r="Z1423" s="46"/>
      <c r="AA1423" s="46"/>
    </row>
    <row r="1424">
      <c r="A1424" s="46"/>
      <c r="B1424" s="46"/>
      <c r="C1424" s="46"/>
      <c r="D1424" s="46"/>
      <c r="E1424" s="46"/>
      <c r="F1424" s="46"/>
      <c r="G1424" s="46"/>
      <c r="H1424" s="46"/>
      <c r="I1424" s="46"/>
      <c r="J1424" s="46"/>
      <c r="K1424" s="46"/>
      <c r="L1424" s="46"/>
      <c r="M1424" s="46"/>
      <c r="N1424" s="46"/>
      <c r="O1424" s="46"/>
      <c r="P1424" s="46"/>
      <c r="Q1424" s="46"/>
      <c r="R1424" s="46"/>
      <c r="S1424" s="46"/>
      <c r="T1424" s="46"/>
      <c r="U1424" s="46"/>
      <c r="V1424" s="46"/>
      <c r="W1424" s="46"/>
      <c r="X1424" s="46"/>
      <c r="Y1424" s="46"/>
      <c r="Z1424" s="46"/>
      <c r="AA1424" s="46"/>
    </row>
    <row r="1425">
      <c r="A1425" s="46"/>
      <c r="B1425" s="46"/>
      <c r="C1425" s="46"/>
      <c r="D1425" s="46"/>
      <c r="E1425" s="46"/>
      <c r="F1425" s="46"/>
      <c r="G1425" s="46"/>
      <c r="H1425" s="46"/>
      <c r="I1425" s="46"/>
      <c r="J1425" s="46"/>
      <c r="K1425" s="46"/>
      <c r="L1425" s="46"/>
      <c r="M1425" s="46"/>
      <c r="N1425" s="46"/>
      <c r="O1425" s="46"/>
      <c r="P1425" s="46"/>
      <c r="Q1425" s="46"/>
      <c r="R1425" s="46"/>
      <c r="S1425" s="46"/>
      <c r="T1425" s="46"/>
      <c r="U1425" s="46"/>
      <c r="V1425" s="46"/>
      <c r="W1425" s="46"/>
      <c r="X1425" s="46"/>
      <c r="Y1425" s="46"/>
      <c r="Z1425" s="46"/>
      <c r="AA1425" s="46"/>
    </row>
    <row r="1426">
      <c r="A1426" s="46"/>
      <c r="B1426" s="46"/>
      <c r="C1426" s="46"/>
      <c r="D1426" s="46"/>
      <c r="E1426" s="46"/>
      <c r="F1426" s="46"/>
      <c r="G1426" s="46"/>
      <c r="H1426" s="46"/>
      <c r="I1426" s="46"/>
      <c r="J1426" s="46"/>
      <c r="K1426" s="46"/>
      <c r="L1426" s="46"/>
      <c r="M1426" s="46"/>
      <c r="N1426" s="46"/>
      <c r="O1426" s="46"/>
      <c r="P1426" s="46"/>
      <c r="Q1426" s="46"/>
      <c r="R1426" s="46"/>
      <c r="S1426" s="46"/>
      <c r="T1426" s="46"/>
      <c r="U1426" s="46"/>
      <c r="V1426" s="46"/>
      <c r="W1426" s="46"/>
      <c r="X1426" s="46"/>
      <c r="Y1426" s="46"/>
      <c r="Z1426" s="46"/>
      <c r="AA1426" s="46"/>
    </row>
    <row r="1427">
      <c r="A1427" s="46"/>
      <c r="B1427" s="46"/>
      <c r="C1427" s="46"/>
      <c r="D1427" s="46"/>
      <c r="E1427" s="46"/>
      <c r="F1427" s="46"/>
      <c r="G1427" s="46"/>
      <c r="H1427" s="46"/>
      <c r="I1427" s="46"/>
      <c r="J1427" s="46"/>
      <c r="K1427" s="46"/>
      <c r="L1427" s="46"/>
      <c r="M1427" s="46"/>
      <c r="N1427" s="46"/>
      <c r="O1427" s="46"/>
      <c r="P1427" s="46"/>
      <c r="Q1427" s="46"/>
      <c r="R1427" s="46"/>
      <c r="S1427" s="46"/>
      <c r="T1427" s="46"/>
      <c r="U1427" s="46"/>
      <c r="V1427" s="46"/>
      <c r="W1427" s="46"/>
      <c r="X1427" s="46"/>
      <c r="Y1427" s="46"/>
      <c r="Z1427" s="46"/>
      <c r="AA1427" s="46"/>
    </row>
    <row r="1428">
      <c r="A1428" s="46"/>
      <c r="B1428" s="46"/>
      <c r="C1428" s="46"/>
      <c r="D1428" s="46"/>
      <c r="E1428" s="46"/>
      <c r="F1428" s="46"/>
      <c r="G1428" s="46"/>
      <c r="H1428" s="46"/>
      <c r="I1428" s="46"/>
      <c r="J1428" s="46"/>
      <c r="K1428" s="46"/>
      <c r="L1428" s="46"/>
      <c r="M1428" s="46"/>
      <c r="N1428" s="46"/>
      <c r="O1428" s="46"/>
      <c r="P1428" s="46"/>
      <c r="Q1428" s="46"/>
      <c r="R1428" s="46"/>
      <c r="S1428" s="46"/>
      <c r="T1428" s="46"/>
      <c r="U1428" s="46"/>
      <c r="V1428" s="46"/>
      <c r="W1428" s="46"/>
      <c r="X1428" s="46"/>
      <c r="Y1428" s="46"/>
      <c r="Z1428" s="46"/>
      <c r="AA1428" s="46"/>
    </row>
    <row r="1429">
      <c r="A1429" s="46"/>
      <c r="B1429" s="46"/>
      <c r="C1429" s="46"/>
      <c r="D1429" s="46"/>
      <c r="E1429" s="46"/>
      <c r="F1429" s="46"/>
      <c r="G1429" s="46"/>
      <c r="H1429" s="46"/>
      <c r="I1429" s="46"/>
      <c r="J1429" s="46"/>
      <c r="K1429" s="46"/>
      <c r="L1429" s="46"/>
      <c r="M1429" s="46"/>
      <c r="N1429" s="46"/>
      <c r="O1429" s="46"/>
      <c r="P1429" s="46"/>
      <c r="Q1429" s="46"/>
      <c r="R1429" s="46"/>
      <c r="S1429" s="46"/>
      <c r="T1429" s="46"/>
      <c r="U1429" s="46"/>
      <c r="V1429" s="46"/>
      <c r="W1429" s="46"/>
      <c r="X1429" s="46"/>
      <c r="Y1429" s="46"/>
      <c r="Z1429" s="46"/>
      <c r="AA1429" s="46"/>
    </row>
    <row r="1430">
      <c r="A1430" s="46"/>
      <c r="B1430" s="46"/>
      <c r="C1430" s="46"/>
      <c r="D1430" s="46"/>
      <c r="E1430" s="46"/>
      <c r="F1430" s="46"/>
      <c r="G1430" s="46"/>
      <c r="H1430" s="46"/>
      <c r="I1430" s="46"/>
      <c r="J1430" s="46"/>
      <c r="K1430" s="46"/>
      <c r="L1430" s="46"/>
      <c r="M1430" s="46"/>
      <c r="N1430" s="46"/>
      <c r="O1430" s="46"/>
      <c r="P1430" s="46"/>
      <c r="Q1430" s="46"/>
      <c r="R1430" s="46"/>
      <c r="S1430" s="46"/>
      <c r="T1430" s="46"/>
      <c r="U1430" s="46"/>
      <c r="V1430" s="46"/>
      <c r="W1430" s="46"/>
      <c r="X1430" s="46"/>
      <c r="Y1430" s="46"/>
      <c r="Z1430" s="46"/>
      <c r="AA1430" s="46"/>
    </row>
    <row r="1431">
      <c r="A1431" s="46"/>
      <c r="B1431" s="46"/>
      <c r="C1431" s="46"/>
      <c r="D1431" s="46"/>
      <c r="E1431" s="46"/>
      <c r="F1431" s="46"/>
      <c r="G1431" s="46"/>
      <c r="H1431" s="46"/>
      <c r="I1431" s="46"/>
      <c r="J1431" s="46"/>
      <c r="K1431" s="46"/>
      <c r="L1431" s="46"/>
      <c r="M1431" s="46"/>
      <c r="N1431" s="46"/>
      <c r="O1431" s="46"/>
      <c r="P1431" s="46"/>
      <c r="Q1431" s="46"/>
      <c r="R1431" s="46"/>
      <c r="S1431" s="46"/>
      <c r="T1431" s="46"/>
      <c r="U1431" s="46"/>
      <c r="V1431" s="46"/>
      <c r="W1431" s="46"/>
      <c r="X1431" s="46"/>
      <c r="Y1431" s="46"/>
      <c r="Z1431" s="46"/>
      <c r="AA1431" s="46"/>
    </row>
    <row r="1432">
      <c r="A1432" s="46"/>
      <c r="B1432" s="46"/>
      <c r="C1432" s="46"/>
      <c r="D1432" s="46"/>
      <c r="E1432" s="46"/>
      <c r="F1432" s="46"/>
      <c r="G1432" s="46"/>
      <c r="H1432" s="46"/>
      <c r="I1432" s="46"/>
      <c r="J1432" s="46"/>
      <c r="K1432" s="46"/>
      <c r="L1432" s="46"/>
      <c r="M1432" s="46"/>
      <c r="N1432" s="46"/>
      <c r="O1432" s="46"/>
      <c r="P1432" s="46"/>
      <c r="Q1432" s="46"/>
      <c r="R1432" s="46"/>
      <c r="S1432" s="46"/>
      <c r="T1432" s="46"/>
      <c r="U1432" s="46"/>
      <c r="V1432" s="46"/>
      <c r="W1432" s="46"/>
      <c r="X1432" s="46"/>
      <c r="Y1432" s="46"/>
      <c r="Z1432" s="46"/>
      <c r="AA1432" s="46"/>
    </row>
    <row r="1433">
      <c r="A1433" s="46"/>
      <c r="B1433" s="46"/>
      <c r="C1433" s="46"/>
      <c r="D1433" s="46"/>
      <c r="E1433" s="46"/>
      <c r="F1433" s="46"/>
      <c r="G1433" s="46"/>
      <c r="H1433" s="46"/>
      <c r="I1433" s="46"/>
      <c r="J1433" s="46"/>
      <c r="K1433" s="46"/>
      <c r="L1433" s="46"/>
      <c r="M1433" s="46"/>
      <c r="N1433" s="46"/>
      <c r="O1433" s="46"/>
      <c r="P1433" s="46"/>
      <c r="Q1433" s="46"/>
      <c r="R1433" s="46"/>
      <c r="S1433" s="46"/>
      <c r="T1433" s="46"/>
      <c r="U1433" s="46"/>
      <c r="V1433" s="46"/>
      <c r="W1433" s="46"/>
      <c r="X1433" s="46"/>
      <c r="Y1433" s="46"/>
      <c r="Z1433" s="46"/>
      <c r="AA1433" s="46"/>
    </row>
    <row r="1434">
      <c r="A1434" s="46"/>
      <c r="B1434" s="46"/>
      <c r="C1434" s="46"/>
      <c r="D1434" s="46"/>
      <c r="E1434" s="46"/>
      <c r="F1434" s="46"/>
      <c r="G1434" s="46"/>
      <c r="H1434" s="46"/>
      <c r="I1434" s="46"/>
      <c r="J1434" s="46"/>
      <c r="K1434" s="46"/>
      <c r="L1434" s="46"/>
      <c r="M1434" s="46"/>
      <c r="N1434" s="46"/>
      <c r="O1434" s="46"/>
      <c r="P1434" s="46"/>
      <c r="Q1434" s="46"/>
      <c r="R1434" s="46"/>
      <c r="S1434" s="46"/>
      <c r="T1434" s="46"/>
      <c r="U1434" s="46"/>
      <c r="V1434" s="46"/>
      <c r="W1434" s="46"/>
      <c r="X1434" s="46"/>
      <c r="Y1434" s="46"/>
      <c r="Z1434" s="46"/>
      <c r="AA1434" s="46"/>
    </row>
    <row r="1435">
      <c r="A1435" s="46"/>
      <c r="B1435" s="46"/>
      <c r="C1435" s="46"/>
      <c r="D1435" s="46"/>
      <c r="E1435" s="46"/>
      <c r="F1435" s="46"/>
      <c r="G1435" s="46"/>
      <c r="H1435" s="46"/>
      <c r="I1435" s="46"/>
      <c r="J1435" s="46"/>
      <c r="K1435" s="46"/>
      <c r="L1435" s="46"/>
      <c r="M1435" s="46"/>
      <c r="N1435" s="46"/>
      <c r="O1435" s="46"/>
      <c r="P1435" s="46"/>
      <c r="Q1435" s="46"/>
      <c r="R1435" s="46"/>
      <c r="S1435" s="46"/>
      <c r="T1435" s="46"/>
      <c r="U1435" s="46"/>
      <c r="V1435" s="46"/>
      <c r="W1435" s="46"/>
      <c r="X1435" s="46"/>
      <c r="Y1435" s="46"/>
      <c r="Z1435" s="46"/>
      <c r="AA1435" s="46"/>
    </row>
    <row r="1436">
      <c r="A1436" s="46"/>
      <c r="B1436" s="46"/>
      <c r="C1436" s="46"/>
      <c r="D1436" s="46"/>
      <c r="E1436" s="46"/>
      <c r="F1436" s="46"/>
      <c r="G1436" s="46"/>
      <c r="H1436" s="46"/>
      <c r="I1436" s="46"/>
      <c r="J1436" s="46"/>
      <c r="K1436" s="46"/>
      <c r="L1436" s="46"/>
      <c r="M1436" s="46"/>
      <c r="N1436" s="46"/>
      <c r="O1436" s="46"/>
      <c r="P1436" s="46"/>
      <c r="Q1436" s="46"/>
      <c r="R1436" s="46"/>
      <c r="S1436" s="46"/>
      <c r="T1436" s="46"/>
      <c r="U1436" s="46"/>
      <c r="V1436" s="46"/>
      <c r="W1436" s="46"/>
      <c r="X1436" s="46"/>
      <c r="Y1436" s="46"/>
      <c r="Z1436" s="46"/>
      <c r="AA1436" s="46"/>
    </row>
    <row r="1437">
      <c r="A1437" s="46"/>
      <c r="B1437" s="46"/>
      <c r="C1437" s="46"/>
      <c r="D1437" s="46"/>
      <c r="E1437" s="46"/>
      <c r="F1437" s="46"/>
      <c r="G1437" s="46"/>
      <c r="H1437" s="46"/>
      <c r="I1437" s="46"/>
      <c r="J1437" s="46"/>
      <c r="K1437" s="46"/>
      <c r="L1437" s="46"/>
      <c r="M1437" s="46"/>
      <c r="N1437" s="46"/>
      <c r="O1437" s="46"/>
      <c r="P1437" s="46"/>
      <c r="Q1437" s="46"/>
      <c r="R1437" s="46"/>
      <c r="S1437" s="46"/>
      <c r="T1437" s="46"/>
      <c r="U1437" s="46"/>
      <c r="V1437" s="46"/>
      <c r="W1437" s="46"/>
      <c r="X1437" s="46"/>
      <c r="Y1437" s="46"/>
      <c r="Z1437" s="46"/>
      <c r="AA1437" s="46"/>
    </row>
    <row r="1438">
      <c r="A1438" s="46"/>
      <c r="B1438" s="46"/>
      <c r="C1438" s="46"/>
      <c r="D1438" s="46"/>
      <c r="E1438" s="46"/>
      <c r="F1438" s="46"/>
      <c r="G1438" s="46"/>
      <c r="H1438" s="46"/>
      <c r="I1438" s="46"/>
      <c r="J1438" s="46"/>
      <c r="K1438" s="46"/>
      <c r="L1438" s="46"/>
      <c r="M1438" s="46"/>
      <c r="N1438" s="46"/>
      <c r="O1438" s="46"/>
      <c r="P1438" s="46"/>
      <c r="Q1438" s="46"/>
      <c r="R1438" s="46"/>
      <c r="S1438" s="46"/>
      <c r="T1438" s="46"/>
      <c r="U1438" s="46"/>
      <c r="V1438" s="46"/>
      <c r="W1438" s="46"/>
      <c r="X1438" s="46"/>
      <c r="Y1438" s="46"/>
      <c r="Z1438" s="46"/>
      <c r="AA1438" s="46"/>
    </row>
    <row r="1439">
      <c r="A1439" s="46"/>
      <c r="B1439" s="46"/>
      <c r="C1439" s="46"/>
      <c r="D1439" s="46"/>
      <c r="E1439" s="46"/>
      <c r="F1439" s="46"/>
      <c r="G1439" s="46"/>
      <c r="H1439" s="46"/>
      <c r="I1439" s="46"/>
      <c r="J1439" s="46"/>
      <c r="K1439" s="46"/>
      <c r="L1439" s="46"/>
      <c r="M1439" s="46"/>
      <c r="N1439" s="46"/>
      <c r="O1439" s="46"/>
      <c r="P1439" s="46"/>
      <c r="Q1439" s="46"/>
      <c r="R1439" s="46"/>
      <c r="S1439" s="46"/>
      <c r="T1439" s="46"/>
      <c r="U1439" s="46"/>
      <c r="V1439" s="46"/>
      <c r="W1439" s="46"/>
      <c r="X1439" s="46"/>
      <c r="Y1439" s="46"/>
      <c r="Z1439" s="46"/>
      <c r="AA1439" s="46"/>
    </row>
    <row r="1440">
      <c r="A1440" s="46"/>
      <c r="B1440" s="46"/>
      <c r="C1440" s="46"/>
      <c r="D1440" s="46"/>
      <c r="E1440" s="46"/>
      <c r="F1440" s="46"/>
      <c r="G1440" s="46"/>
      <c r="H1440" s="46"/>
      <c r="I1440" s="46"/>
      <c r="J1440" s="46"/>
      <c r="K1440" s="46"/>
      <c r="L1440" s="46"/>
      <c r="M1440" s="46"/>
      <c r="N1440" s="46"/>
      <c r="O1440" s="46"/>
      <c r="P1440" s="46"/>
      <c r="Q1440" s="46"/>
      <c r="R1440" s="46"/>
      <c r="S1440" s="46"/>
      <c r="T1440" s="46"/>
      <c r="U1440" s="46"/>
      <c r="V1440" s="46"/>
      <c r="W1440" s="46"/>
      <c r="X1440" s="46"/>
      <c r="Y1440" s="46"/>
      <c r="Z1440" s="46"/>
      <c r="AA1440" s="46"/>
    </row>
    <row r="1441">
      <c r="A1441" s="46"/>
      <c r="B1441" s="46"/>
      <c r="C1441" s="46"/>
      <c r="D1441" s="46"/>
      <c r="E1441" s="46"/>
      <c r="F1441" s="46"/>
      <c r="G1441" s="46"/>
      <c r="H1441" s="46"/>
      <c r="I1441" s="46"/>
      <c r="J1441" s="46"/>
      <c r="K1441" s="46"/>
      <c r="L1441" s="46"/>
      <c r="M1441" s="46"/>
      <c r="N1441" s="46"/>
      <c r="O1441" s="46"/>
      <c r="P1441" s="46"/>
      <c r="Q1441" s="46"/>
      <c r="R1441" s="46"/>
      <c r="S1441" s="46"/>
      <c r="T1441" s="46"/>
      <c r="U1441" s="46"/>
      <c r="V1441" s="46"/>
      <c r="W1441" s="46"/>
      <c r="X1441" s="46"/>
      <c r="Y1441" s="46"/>
      <c r="Z1441" s="46"/>
      <c r="AA1441" s="46"/>
    </row>
    <row r="1442">
      <c r="A1442" s="46"/>
      <c r="B1442" s="46"/>
      <c r="C1442" s="46"/>
      <c r="D1442" s="46"/>
      <c r="E1442" s="46"/>
      <c r="F1442" s="46"/>
      <c r="G1442" s="46"/>
      <c r="H1442" s="46"/>
      <c r="I1442" s="46"/>
      <c r="J1442" s="46"/>
      <c r="K1442" s="46"/>
      <c r="L1442" s="46"/>
      <c r="M1442" s="46"/>
      <c r="N1442" s="46"/>
      <c r="O1442" s="46"/>
      <c r="P1442" s="46"/>
      <c r="Q1442" s="46"/>
      <c r="R1442" s="46"/>
      <c r="S1442" s="46"/>
      <c r="T1442" s="46"/>
      <c r="U1442" s="46"/>
      <c r="V1442" s="46"/>
      <c r="W1442" s="46"/>
      <c r="X1442" s="46"/>
      <c r="Y1442" s="46"/>
      <c r="Z1442" s="46"/>
      <c r="AA1442" s="46"/>
    </row>
    <row r="1443">
      <c r="A1443" s="46"/>
      <c r="B1443" s="46"/>
      <c r="C1443" s="46"/>
      <c r="D1443" s="46"/>
      <c r="E1443" s="46"/>
      <c r="F1443" s="46"/>
      <c r="G1443" s="46"/>
      <c r="H1443" s="46"/>
      <c r="I1443" s="46"/>
      <c r="J1443" s="46"/>
      <c r="K1443" s="46"/>
      <c r="L1443" s="46"/>
      <c r="M1443" s="46"/>
      <c r="N1443" s="46"/>
      <c r="O1443" s="46"/>
      <c r="P1443" s="46"/>
      <c r="Q1443" s="46"/>
      <c r="R1443" s="46"/>
      <c r="S1443" s="46"/>
      <c r="T1443" s="46"/>
      <c r="U1443" s="46"/>
      <c r="V1443" s="46"/>
      <c r="W1443" s="46"/>
      <c r="X1443" s="46"/>
      <c r="Y1443" s="46"/>
      <c r="Z1443" s="46"/>
      <c r="AA1443" s="46"/>
    </row>
    <row r="1444">
      <c r="A1444" s="46"/>
      <c r="B1444" s="46"/>
      <c r="C1444" s="46"/>
      <c r="D1444" s="46"/>
      <c r="E1444" s="46"/>
      <c r="F1444" s="46"/>
      <c r="G1444" s="46"/>
      <c r="H1444" s="46"/>
      <c r="I1444" s="46"/>
      <c r="J1444" s="46"/>
      <c r="K1444" s="46"/>
      <c r="L1444" s="46"/>
      <c r="M1444" s="46"/>
      <c r="N1444" s="46"/>
      <c r="O1444" s="46"/>
      <c r="P1444" s="46"/>
      <c r="Q1444" s="46"/>
      <c r="R1444" s="46"/>
      <c r="S1444" s="46"/>
      <c r="T1444" s="46"/>
      <c r="U1444" s="46"/>
      <c r="V1444" s="46"/>
      <c r="W1444" s="46"/>
      <c r="X1444" s="46"/>
      <c r="Y1444" s="46"/>
      <c r="Z1444" s="46"/>
      <c r="AA1444" s="46"/>
    </row>
    <row r="1445">
      <c r="A1445" s="46"/>
      <c r="B1445" s="46"/>
      <c r="C1445" s="46"/>
      <c r="D1445" s="46"/>
      <c r="E1445" s="46"/>
      <c r="F1445" s="46"/>
      <c r="G1445" s="46"/>
      <c r="H1445" s="46"/>
      <c r="I1445" s="46"/>
      <c r="J1445" s="46"/>
      <c r="K1445" s="46"/>
      <c r="L1445" s="46"/>
      <c r="M1445" s="46"/>
      <c r="N1445" s="46"/>
      <c r="O1445" s="46"/>
      <c r="P1445" s="46"/>
      <c r="Q1445" s="46"/>
      <c r="R1445" s="46"/>
      <c r="S1445" s="46"/>
      <c r="T1445" s="46"/>
      <c r="U1445" s="46"/>
      <c r="V1445" s="46"/>
      <c r="W1445" s="46"/>
      <c r="X1445" s="46"/>
      <c r="Y1445" s="46"/>
      <c r="Z1445" s="46"/>
      <c r="AA1445" s="46"/>
    </row>
    <row r="1446">
      <c r="A1446" s="46"/>
      <c r="B1446" s="46"/>
      <c r="C1446" s="46"/>
      <c r="D1446" s="46"/>
      <c r="E1446" s="46"/>
      <c r="F1446" s="46"/>
      <c r="G1446" s="46"/>
      <c r="H1446" s="46"/>
      <c r="I1446" s="46"/>
      <c r="J1446" s="46"/>
      <c r="K1446" s="46"/>
      <c r="L1446" s="46"/>
      <c r="M1446" s="46"/>
      <c r="N1446" s="46"/>
      <c r="O1446" s="46"/>
      <c r="P1446" s="46"/>
      <c r="Q1446" s="46"/>
      <c r="R1446" s="46"/>
      <c r="S1446" s="46"/>
      <c r="T1446" s="46"/>
      <c r="U1446" s="46"/>
      <c r="V1446" s="46"/>
      <c r="W1446" s="46"/>
      <c r="X1446" s="46"/>
      <c r="Y1446" s="46"/>
      <c r="Z1446" s="46"/>
      <c r="AA1446" s="46"/>
    </row>
    <row r="1447">
      <c r="A1447" s="46"/>
      <c r="B1447" s="46"/>
      <c r="C1447" s="46"/>
      <c r="D1447" s="46"/>
      <c r="E1447" s="46"/>
      <c r="F1447" s="46"/>
      <c r="G1447" s="46"/>
      <c r="H1447" s="46"/>
      <c r="I1447" s="46"/>
      <c r="J1447" s="46"/>
      <c r="K1447" s="46"/>
      <c r="L1447" s="46"/>
      <c r="M1447" s="46"/>
      <c r="N1447" s="46"/>
      <c r="O1447" s="46"/>
      <c r="P1447" s="46"/>
      <c r="Q1447" s="46"/>
      <c r="R1447" s="46"/>
      <c r="S1447" s="46"/>
      <c r="T1447" s="46"/>
      <c r="U1447" s="46"/>
      <c r="V1447" s="46"/>
      <c r="W1447" s="46"/>
      <c r="X1447" s="46"/>
      <c r="Y1447" s="46"/>
      <c r="Z1447" s="46"/>
      <c r="AA1447" s="46"/>
    </row>
    <row r="1448">
      <c r="A1448" s="46"/>
      <c r="B1448" s="46"/>
      <c r="C1448" s="46"/>
      <c r="D1448" s="46"/>
      <c r="E1448" s="46"/>
      <c r="F1448" s="46"/>
      <c r="G1448" s="46"/>
      <c r="H1448" s="46"/>
      <c r="I1448" s="46"/>
      <c r="J1448" s="46"/>
      <c r="K1448" s="46"/>
      <c r="L1448" s="46"/>
      <c r="M1448" s="46"/>
      <c r="N1448" s="46"/>
      <c r="O1448" s="46"/>
      <c r="P1448" s="46"/>
      <c r="Q1448" s="46"/>
      <c r="R1448" s="46"/>
      <c r="S1448" s="46"/>
      <c r="T1448" s="46"/>
      <c r="U1448" s="46"/>
      <c r="V1448" s="46"/>
      <c r="W1448" s="46"/>
      <c r="X1448" s="46"/>
      <c r="Y1448" s="46"/>
      <c r="Z1448" s="46"/>
      <c r="AA1448" s="46"/>
    </row>
    <row r="1449">
      <c r="A1449" s="46"/>
      <c r="B1449" s="46"/>
      <c r="C1449" s="46"/>
      <c r="D1449" s="46"/>
      <c r="E1449" s="46"/>
      <c r="F1449" s="46"/>
      <c r="G1449" s="46"/>
      <c r="H1449" s="46"/>
      <c r="I1449" s="46"/>
      <c r="J1449" s="46"/>
      <c r="K1449" s="46"/>
      <c r="L1449" s="46"/>
      <c r="M1449" s="46"/>
      <c r="N1449" s="46"/>
      <c r="O1449" s="46"/>
      <c r="P1449" s="46"/>
      <c r="Q1449" s="46"/>
      <c r="R1449" s="46"/>
      <c r="S1449" s="46"/>
      <c r="T1449" s="46"/>
      <c r="U1449" s="46"/>
      <c r="V1449" s="46"/>
      <c r="W1449" s="46"/>
      <c r="X1449" s="46"/>
      <c r="Y1449" s="46"/>
      <c r="Z1449" s="46"/>
      <c r="AA1449" s="46"/>
    </row>
    <row r="1450">
      <c r="A1450" s="46"/>
      <c r="B1450" s="46"/>
      <c r="C1450" s="46"/>
      <c r="D1450" s="46"/>
      <c r="E1450" s="46"/>
      <c r="F1450" s="46"/>
      <c r="G1450" s="46"/>
      <c r="H1450" s="46"/>
      <c r="I1450" s="46"/>
      <c r="J1450" s="46"/>
      <c r="K1450" s="46"/>
      <c r="L1450" s="46"/>
      <c r="M1450" s="46"/>
      <c r="N1450" s="46"/>
      <c r="O1450" s="46"/>
      <c r="P1450" s="46"/>
      <c r="Q1450" s="46"/>
      <c r="R1450" s="46"/>
      <c r="S1450" s="46"/>
      <c r="T1450" s="46"/>
      <c r="U1450" s="46"/>
      <c r="V1450" s="46"/>
      <c r="W1450" s="46"/>
      <c r="X1450" s="46"/>
      <c r="Y1450" s="46"/>
      <c r="Z1450" s="46"/>
      <c r="AA1450" s="46"/>
    </row>
    <row r="1451">
      <c r="A1451" s="46"/>
      <c r="B1451" s="46"/>
      <c r="C1451" s="46"/>
      <c r="D1451" s="46"/>
      <c r="E1451" s="46"/>
      <c r="F1451" s="46"/>
      <c r="G1451" s="46"/>
      <c r="H1451" s="46"/>
      <c r="I1451" s="46"/>
      <c r="J1451" s="46"/>
      <c r="K1451" s="46"/>
      <c r="L1451" s="46"/>
      <c r="M1451" s="46"/>
      <c r="N1451" s="46"/>
      <c r="O1451" s="46"/>
      <c r="P1451" s="46"/>
      <c r="Q1451" s="46"/>
      <c r="R1451" s="46"/>
      <c r="S1451" s="46"/>
      <c r="T1451" s="46"/>
      <c r="U1451" s="46"/>
      <c r="V1451" s="46"/>
      <c r="W1451" s="46"/>
      <c r="X1451" s="46"/>
      <c r="Y1451" s="46"/>
      <c r="Z1451" s="46"/>
      <c r="AA1451" s="46"/>
    </row>
    <row r="1452">
      <c r="A1452" s="46"/>
      <c r="B1452" s="46"/>
      <c r="C1452" s="46"/>
      <c r="D1452" s="46"/>
      <c r="E1452" s="46"/>
      <c r="F1452" s="46"/>
      <c r="G1452" s="46"/>
      <c r="H1452" s="46"/>
      <c r="I1452" s="46"/>
      <c r="J1452" s="46"/>
      <c r="K1452" s="46"/>
      <c r="L1452" s="46"/>
      <c r="M1452" s="46"/>
      <c r="N1452" s="46"/>
      <c r="O1452" s="46"/>
      <c r="P1452" s="46"/>
      <c r="Q1452" s="46"/>
      <c r="R1452" s="46"/>
      <c r="S1452" s="46"/>
      <c r="T1452" s="46"/>
      <c r="U1452" s="46"/>
      <c r="V1452" s="46"/>
      <c r="W1452" s="46"/>
      <c r="X1452" s="46"/>
      <c r="Y1452" s="46"/>
      <c r="Z1452" s="46"/>
      <c r="AA1452" s="46"/>
    </row>
    <row r="1453">
      <c r="A1453" s="46"/>
      <c r="B1453" s="46"/>
      <c r="C1453" s="46"/>
      <c r="D1453" s="46"/>
      <c r="E1453" s="46"/>
      <c r="F1453" s="46"/>
      <c r="G1453" s="46"/>
      <c r="H1453" s="46"/>
      <c r="I1453" s="46"/>
      <c r="J1453" s="46"/>
      <c r="K1453" s="46"/>
      <c r="L1453" s="46"/>
      <c r="M1453" s="46"/>
      <c r="N1453" s="46"/>
      <c r="O1453" s="46"/>
      <c r="P1453" s="46"/>
      <c r="Q1453" s="46"/>
      <c r="R1453" s="46"/>
      <c r="S1453" s="46"/>
      <c r="T1453" s="46"/>
      <c r="U1453" s="46"/>
      <c r="V1453" s="46"/>
      <c r="W1453" s="46"/>
      <c r="X1453" s="46"/>
      <c r="Y1453" s="46"/>
      <c r="Z1453" s="46"/>
      <c r="AA1453" s="46"/>
    </row>
    <row r="1454">
      <c r="A1454" s="46"/>
      <c r="B1454" s="46"/>
      <c r="C1454" s="46"/>
      <c r="D1454" s="46"/>
      <c r="E1454" s="46"/>
      <c r="F1454" s="46"/>
      <c r="G1454" s="46"/>
      <c r="H1454" s="46"/>
      <c r="I1454" s="46"/>
      <c r="J1454" s="46"/>
      <c r="K1454" s="46"/>
      <c r="L1454" s="46"/>
      <c r="M1454" s="46"/>
      <c r="N1454" s="46"/>
      <c r="O1454" s="46"/>
      <c r="P1454" s="46"/>
      <c r="Q1454" s="46"/>
      <c r="R1454" s="46"/>
      <c r="S1454" s="46"/>
      <c r="T1454" s="46"/>
      <c r="U1454" s="46"/>
      <c r="V1454" s="46"/>
      <c r="W1454" s="46"/>
      <c r="X1454" s="46"/>
      <c r="Y1454" s="46"/>
      <c r="Z1454" s="46"/>
      <c r="AA1454" s="46"/>
    </row>
    <row r="1455">
      <c r="A1455" s="46"/>
      <c r="B1455" s="46"/>
      <c r="C1455" s="46"/>
      <c r="D1455" s="46"/>
      <c r="E1455" s="46"/>
      <c r="F1455" s="46"/>
      <c r="G1455" s="46"/>
      <c r="H1455" s="46"/>
      <c r="I1455" s="46"/>
      <c r="J1455" s="46"/>
      <c r="K1455" s="46"/>
      <c r="L1455" s="46"/>
      <c r="M1455" s="46"/>
      <c r="N1455" s="46"/>
      <c r="O1455" s="46"/>
      <c r="P1455" s="46"/>
      <c r="Q1455" s="46"/>
      <c r="R1455" s="46"/>
      <c r="S1455" s="46"/>
      <c r="T1455" s="46"/>
      <c r="U1455" s="46"/>
      <c r="V1455" s="46"/>
      <c r="W1455" s="46"/>
      <c r="X1455" s="46"/>
      <c r="Y1455" s="46"/>
      <c r="Z1455" s="46"/>
      <c r="AA1455" s="46"/>
    </row>
    <row r="1456">
      <c r="A1456" s="46"/>
      <c r="B1456" s="46"/>
      <c r="C1456" s="46"/>
      <c r="D1456" s="46"/>
      <c r="E1456" s="46"/>
      <c r="F1456" s="46"/>
      <c r="G1456" s="46"/>
      <c r="H1456" s="46"/>
      <c r="I1456" s="46"/>
      <c r="J1456" s="46"/>
      <c r="K1456" s="46"/>
      <c r="L1456" s="46"/>
      <c r="M1456" s="46"/>
      <c r="N1456" s="46"/>
      <c r="O1456" s="46"/>
      <c r="P1456" s="46"/>
      <c r="Q1456" s="46"/>
      <c r="R1456" s="46"/>
      <c r="S1456" s="46"/>
      <c r="T1456" s="46"/>
      <c r="U1456" s="46"/>
      <c r="V1456" s="46"/>
      <c r="W1456" s="46"/>
      <c r="X1456" s="46"/>
      <c r="Y1456" s="46"/>
      <c r="Z1456" s="46"/>
      <c r="AA1456" s="46"/>
    </row>
    <row r="1457">
      <c r="A1457" s="46"/>
      <c r="B1457" s="46"/>
      <c r="C1457" s="46"/>
      <c r="D1457" s="46"/>
      <c r="E1457" s="46"/>
      <c r="F1457" s="46"/>
      <c r="G1457" s="46"/>
      <c r="H1457" s="46"/>
      <c r="I1457" s="46"/>
      <c r="J1457" s="46"/>
      <c r="K1457" s="46"/>
      <c r="L1457" s="46"/>
      <c r="M1457" s="46"/>
      <c r="N1457" s="46"/>
      <c r="O1457" s="46"/>
      <c r="P1457" s="46"/>
      <c r="Q1457" s="46"/>
      <c r="R1457" s="46"/>
      <c r="S1457" s="46"/>
      <c r="T1457" s="46"/>
      <c r="U1457" s="46"/>
      <c r="V1457" s="46"/>
      <c r="W1457" s="46"/>
      <c r="X1457" s="46"/>
      <c r="Y1457" s="46"/>
      <c r="Z1457" s="46"/>
      <c r="AA1457" s="46"/>
    </row>
    <row r="1458">
      <c r="A1458" s="46"/>
      <c r="B1458" s="46"/>
      <c r="C1458" s="46"/>
      <c r="D1458" s="46"/>
      <c r="E1458" s="46"/>
      <c r="F1458" s="46"/>
      <c r="G1458" s="46"/>
      <c r="H1458" s="46"/>
      <c r="I1458" s="46"/>
      <c r="J1458" s="46"/>
      <c r="K1458" s="46"/>
      <c r="L1458" s="46"/>
      <c r="M1458" s="46"/>
      <c r="N1458" s="46"/>
      <c r="O1458" s="46"/>
      <c r="P1458" s="46"/>
      <c r="Q1458" s="46"/>
      <c r="R1458" s="46"/>
      <c r="S1458" s="46"/>
      <c r="T1458" s="46"/>
      <c r="U1458" s="46"/>
      <c r="V1458" s="46"/>
      <c r="W1458" s="46"/>
      <c r="X1458" s="46"/>
      <c r="Y1458" s="46"/>
      <c r="Z1458" s="46"/>
      <c r="AA1458" s="46"/>
    </row>
    <row r="1459">
      <c r="A1459" s="46"/>
      <c r="B1459" s="46"/>
      <c r="C1459" s="46"/>
      <c r="D1459" s="46"/>
      <c r="E1459" s="46"/>
      <c r="F1459" s="46"/>
      <c r="G1459" s="46"/>
      <c r="H1459" s="46"/>
      <c r="I1459" s="46"/>
      <c r="J1459" s="46"/>
      <c r="K1459" s="46"/>
      <c r="L1459" s="46"/>
      <c r="M1459" s="46"/>
      <c r="N1459" s="46"/>
      <c r="O1459" s="46"/>
      <c r="P1459" s="46"/>
      <c r="Q1459" s="46"/>
      <c r="R1459" s="46"/>
      <c r="S1459" s="46"/>
      <c r="T1459" s="46"/>
      <c r="U1459" s="46"/>
      <c r="V1459" s="46"/>
      <c r="W1459" s="46"/>
      <c r="X1459" s="46"/>
      <c r="Y1459" s="46"/>
      <c r="Z1459" s="46"/>
      <c r="AA1459" s="46"/>
    </row>
    <row r="1460">
      <c r="A1460" s="46"/>
      <c r="B1460" s="46"/>
      <c r="C1460" s="46"/>
      <c r="D1460" s="46"/>
      <c r="E1460" s="46"/>
      <c r="F1460" s="46"/>
      <c r="G1460" s="46"/>
      <c r="H1460" s="46"/>
      <c r="I1460" s="46"/>
      <c r="J1460" s="46"/>
      <c r="K1460" s="46"/>
      <c r="L1460" s="46"/>
      <c r="M1460" s="46"/>
      <c r="N1460" s="46"/>
      <c r="O1460" s="46"/>
      <c r="P1460" s="46"/>
      <c r="Q1460" s="46"/>
      <c r="R1460" s="46"/>
      <c r="S1460" s="46"/>
      <c r="T1460" s="46"/>
      <c r="U1460" s="46"/>
      <c r="V1460" s="46"/>
      <c r="W1460" s="46"/>
      <c r="X1460" s="46"/>
      <c r="Y1460" s="46"/>
      <c r="Z1460" s="46"/>
      <c r="AA1460" s="46"/>
    </row>
    <row r="1461">
      <c r="A1461" s="46"/>
      <c r="B1461" s="46"/>
      <c r="C1461" s="46"/>
      <c r="D1461" s="46"/>
      <c r="E1461" s="46"/>
      <c r="F1461" s="46"/>
      <c r="G1461" s="46"/>
      <c r="H1461" s="46"/>
      <c r="I1461" s="46"/>
      <c r="J1461" s="46"/>
      <c r="K1461" s="46"/>
      <c r="L1461" s="46"/>
      <c r="M1461" s="46"/>
      <c r="N1461" s="46"/>
      <c r="O1461" s="46"/>
      <c r="P1461" s="46"/>
      <c r="Q1461" s="46"/>
      <c r="R1461" s="46"/>
      <c r="S1461" s="46"/>
      <c r="T1461" s="46"/>
      <c r="U1461" s="46"/>
      <c r="V1461" s="46"/>
      <c r="W1461" s="46"/>
      <c r="X1461" s="46"/>
      <c r="Y1461" s="46"/>
      <c r="Z1461" s="46"/>
      <c r="AA1461" s="46"/>
    </row>
    <row r="1462">
      <c r="A1462" s="46"/>
      <c r="B1462" s="46"/>
      <c r="C1462" s="46"/>
      <c r="D1462" s="46"/>
      <c r="E1462" s="46"/>
      <c r="F1462" s="46"/>
      <c r="G1462" s="46"/>
      <c r="H1462" s="46"/>
      <c r="I1462" s="46"/>
      <c r="J1462" s="46"/>
      <c r="K1462" s="46"/>
      <c r="L1462" s="46"/>
      <c r="M1462" s="46"/>
      <c r="N1462" s="46"/>
      <c r="O1462" s="46"/>
      <c r="P1462" s="46"/>
      <c r="Q1462" s="46"/>
      <c r="R1462" s="46"/>
      <c r="S1462" s="46"/>
      <c r="T1462" s="46"/>
      <c r="U1462" s="46"/>
      <c r="V1462" s="46"/>
      <c r="W1462" s="46"/>
      <c r="X1462" s="46"/>
      <c r="Y1462" s="46"/>
      <c r="Z1462" s="46"/>
      <c r="AA1462" s="46"/>
    </row>
    <row r="1463">
      <c r="A1463" s="46"/>
      <c r="B1463" s="46"/>
      <c r="C1463" s="46"/>
      <c r="D1463" s="46"/>
      <c r="E1463" s="46"/>
      <c r="F1463" s="46"/>
      <c r="G1463" s="46"/>
      <c r="H1463" s="46"/>
      <c r="I1463" s="46"/>
      <c r="J1463" s="46"/>
      <c r="K1463" s="46"/>
      <c r="L1463" s="46"/>
      <c r="M1463" s="46"/>
      <c r="N1463" s="46"/>
      <c r="O1463" s="46"/>
      <c r="P1463" s="46"/>
      <c r="Q1463" s="46"/>
      <c r="R1463" s="46"/>
      <c r="S1463" s="46"/>
      <c r="T1463" s="46"/>
      <c r="U1463" s="46"/>
      <c r="V1463" s="46"/>
      <c r="W1463" s="46"/>
      <c r="X1463" s="46"/>
      <c r="Y1463" s="46"/>
      <c r="Z1463" s="46"/>
      <c r="AA1463" s="46"/>
    </row>
    <row r="1464">
      <c r="A1464" s="46"/>
      <c r="B1464" s="46"/>
      <c r="C1464" s="46"/>
      <c r="D1464" s="46"/>
      <c r="E1464" s="46"/>
      <c r="F1464" s="46"/>
      <c r="G1464" s="46"/>
      <c r="H1464" s="46"/>
      <c r="I1464" s="46"/>
      <c r="J1464" s="46"/>
      <c r="K1464" s="46"/>
      <c r="L1464" s="46"/>
      <c r="M1464" s="46"/>
      <c r="N1464" s="46"/>
      <c r="O1464" s="46"/>
      <c r="P1464" s="46"/>
      <c r="Q1464" s="46"/>
      <c r="R1464" s="46"/>
      <c r="S1464" s="46"/>
      <c r="T1464" s="46"/>
      <c r="U1464" s="46"/>
      <c r="V1464" s="46"/>
      <c r="W1464" s="46"/>
      <c r="X1464" s="46"/>
      <c r="Y1464" s="46"/>
      <c r="Z1464" s="46"/>
      <c r="AA1464" s="46"/>
    </row>
    <row r="1465">
      <c r="A1465" s="46"/>
      <c r="B1465" s="46"/>
      <c r="C1465" s="46"/>
      <c r="D1465" s="46"/>
      <c r="E1465" s="46"/>
      <c r="F1465" s="46"/>
      <c r="G1465" s="46"/>
      <c r="H1465" s="46"/>
      <c r="I1465" s="46"/>
      <c r="J1465" s="46"/>
      <c r="K1465" s="46"/>
      <c r="L1465" s="46"/>
      <c r="M1465" s="46"/>
      <c r="N1465" s="46"/>
      <c r="O1465" s="46"/>
      <c r="P1465" s="46"/>
      <c r="Q1465" s="46"/>
      <c r="R1465" s="46"/>
      <c r="S1465" s="46"/>
      <c r="T1465" s="46"/>
      <c r="U1465" s="46"/>
      <c r="V1465" s="46"/>
      <c r="W1465" s="46"/>
      <c r="X1465" s="46"/>
      <c r="Y1465" s="46"/>
      <c r="Z1465" s="46"/>
      <c r="AA1465" s="46"/>
    </row>
    <row r="1466">
      <c r="A1466" s="46"/>
      <c r="B1466" s="46"/>
      <c r="C1466" s="46"/>
      <c r="D1466" s="46"/>
      <c r="E1466" s="46"/>
      <c r="F1466" s="46"/>
      <c r="G1466" s="46"/>
      <c r="H1466" s="46"/>
      <c r="I1466" s="46"/>
      <c r="J1466" s="46"/>
      <c r="K1466" s="46"/>
      <c r="L1466" s="46"/>
      <c r="M1466" s="46"/>
      <c r="N1466" s="46"/>
      <c r="O1466" s="46"/>
      <c r="P1466" s="46"/>
      <c r="Q1466" s="46"/>
      <c r="R1466" s="46"/>
      <c r="S1466" s="46"/>
      <c r="T1466" s="46"/>
      <c r="U1466" s="46"/>
      <c r="V1466" s="46"/>
      <c r="W1466" s="46"/>
      <c r="X1466" s="46"/>
      <c r="Y1466" s="46"/>
      <c r="Z1466" s="46"/>
      <c r="AA1466" s="46"/>
    </row>
    <row r="1467">
      <c r="A1467" s="46"/>
      <c r="B1467" s="46"/>
      <c r="C1467" s="46"/>
      <c r="D1467" s="46"/>
      <c r="E1467" s="46"/>
      <c r="F1467" s="46"/>
      <c r="G1467" s="46"/>
      <c r="H1467" s="46"/>
      <c r="I1467" s="46"/>
      <c r="J1467" s="46"/>
      <c r="K1467" s="46"/>
      <c r="L1467" s="46"/>
      <c r="M1467" s="46"/>
      <c r="N1467" s="46"/>
      <c r="O1467" s="46"/>
      <c r="P1467" s="46"/>
      <c r="Q1467" s="46"/>
      <c r="R1467" s="46"/>
      <c r="S1467" s="46"/>
      <c r="T1467" s="46"/>
      <c r="U1467" s="46"/>
      <c r="V1467" s="46"/>
      <c r="W1467" s="46"/>
      <c r="X1467" s="46"/>
      <c r="Y1467" s="46"/>
      <c r="Z1467" s="46"/>
      <c r="AA1467" s="46"/>
    </row>
    <row r="1468">
      <c r="A1468" s="46"/>
      <c r="B1468" s="46"/>
      <c r="C1468" s="46"/>
      <c r="D1468" s="46"/>
      <c r="E1468" s="46"/>
      <c r="F1468" s="46"/>
      <c r="G1468" s="46"/>
      <c r="H1468" s="46"/>
      <c r="I1468" s="46"/>
      <c r="J1468" s="46"/>
      <c r="K1468" s="46"/>
      <c r="L1468" s="46"/>
      <c r="M1468" s="46"/>
      <c r="N1468" s="46"/>
      <c r="O1468" s="46"/>
      <c r="P1468" s="46"/>
      <c r="Q1468" s="46"/>
      <c r="R1468" s="46"/>
      <c r="S1468" s="46"/>
      <c r="T1468" s="46"/>
      <c r="U1468" s="46"/>
      <c r="V1468" s="46"/>
      <c r="W1468" s="46"/>
      <c r="X1468" s="46"/>
      <c r="Y1468" s="46"/>
      <c r="Z1468" s="46"/>
      <c r="AA1468" s="46"/>
    </row>
    <row r="1469">
      <c r="A1469" s="46"/>
      <c r="B1469" s="46"/>
      <c r="C1469" s="46"/>
      <c r="D1469" s="46"/>
      <c r="E1469" s="46"/>
      <c r="F1469" s="46"/>
      <c r="G1469" s="46"/>
      <c r="H1469" s="46"/>
      <c r="I1469" s="46"/>
      <c r="J1469" s="46"/>
      <c r="K1469" s="46"/>
      <c r="L1469" s="46"/>
      <c r="M1469" s="46"/>
      <c r="N1469" s="46"/>
      <c r="O1469" s="46"/>
      <c r="P1469" s="46"/>
      <c r="Q1469" s="46"/>
      <c r="R1469" s="46"/>
      <c r="S1469" s="46"/>
      <c r="T1469" s="46"/>
      <c r="U1469" s="46"/>
      <c r="V1469" s="46"/>
      <c r="W1469" s="46"/>
      <c r="X1469" s="46"/>
      <c r="Y1469" s="46"/>
      <c r="Z1469" s="46"/>
      <c r="AA1469" s="46"/>
    </row>
    <row r="1470">
      <c r="A1470" s="46"/>
      <c r="B1470" s="46"/>
      <c r="C1470" s="46"/>
      <c r="D1470" s="46"/>
      <c r="E1470" s="46"/>
      <c r="F1470" s="46"/>
      <c r="G1470" s="46"/>
      <c r="H1470" s="46"/>
      <c r="I1470" s="46"/>
      <c r="J1470" s="46"/>
      <c r="K1470" s="46"/>
      <c r="L1470" s="46"/>
      <c r="M1470" s="46"/>
      <c r="N1470" s="46"/>
      <c r="O1470" s="46"/>
      <c r="P1470" s="46"/>
      <c r="Q1470" s="46"/>
      <c r="R1470" s="46"/>
      <c r="S1470" s="46"/>
      <c r="T1470" s="46"/>
      <c r="U1470" s="46"/>
      <c r="V1470" s="46"/>
      <c r="W1470" s="46"/>
      <c r="X1470" s="46"/>
      <c r="Y1470" s="46"/>
      <c r="Z1470" s="46"/>
      <c r="AA1470" s="46"/>
    </row>
    <row r="1471">
      <c r="A1471" s="46"/>
      <c r="B1471" s="46"/>
      <c r="C1471" s="46"/>
      <c r="D1471" s="46"/>
      <c r="E1471" s="46"/>
      <c r="F1471" s="46"/>
      <c r="G1471" s="46"/>
      <c r="H1471" s="46"/>
      <c r="I1471" s="46"/>
      <c r="J1471" s="46"/>
      <c r="K1471" s="46"/>
      <c r="L1471" s="46"/>
      <c r="M1471" s="46"/>
      <c r="N1471" s="46"/>
      <c r="O1471" s="46"/>
      <c r="P1471" s="46"/>
      <c r="Q1471" s="46"/>
      <c r="R1471" s="46"/>
      <c r="S1471" s="46"/>
      <c r="T1471" s="46"/>
      <c r="U1471" s="46"/>
      <c r="V1471" s="46"/>
      <c r="W1471" s="46"/>
      <c r="X1471" s="46"/>
      <c r="Y1471" s="46"/>
      <c r="Z1471" s="46"/>
      <c r="AA1471" s="46"/>
    </row>
    <row r="1472">
      <c r="A1472" s="46"/>
      <c r="B1472" s="46"/>
      <c r="C1472" s="46"/>
      <c r="D1472" s="46"/>
      <c r="E1472" s="46"/>
      <c r="F1472" s="46"/>
      <c r="G1472" s="46"/>
      <c r="H1472" s="46"/>
      <c r="I1472" s="46"/>
      <c r="J1472" s="46"/>
      <c r="K1472" s="46"/>
      <c r="L1472" s="46"/>
      <c r="M1472" s="46"/>
      <c r="N1472" s="46"/>
      <c r="O1472" s="46"/>
      <c r="P1472" s="46"/>
      <c r="Q1472" s="46"/>
      <c r="R1472" s="46"/>
      <c r="S1472" s="46"/>
      <c r="T1472" s="46"/>
      <c r="U1472" s="46"/>
      <c r="V1472" s="46"/>
      <c r="W1472" s="46"/>
      <c r="X1472" s="46"/>
      <c r="Y1472" s="46"/>
      <c r="Z1472" s="46"/>
      <c r="AA1472" s="46"/>
    </row>
    <row r="1473">
      <c r="A1473" s="46"/>
      <c r="B1473" s="46"/>
      <c r="C1473" s="46"/>
      <c r="D1473" s="46"/>
      <c r="E1473" s="46"/>
      <c r="F1473" s="46"/>
      <c r="G1473" s="46"/>
      <c r="H1473" s="46"/>
      <c r="I1473" s="46"/>
      <c r="J1473" s="46"/>
      <c r="K1473" s="46"/>
      <c r="L1473" s="46"/>
      <c r="M1473" s="46"/>
      <c r="N1473" s="46"/>
      <c r="O1473" s="46"/>
      <c r="P1473" s="46"/>
      <c r="Q1473" s="46"/>
      <c r="R1473" s="46"/>
      <c r="S1473" s="46"/>
      <c r="T1473" s="46"/>
      <c r="U1473" s="46"/>
      <c r="V1473" s="46"/>
      <c r="W1473" s="46"/>
      <c r="X1473" s="46"/>
      <c r="Y1473" s="46"/>
      <c r="Z1473" s="46"/>
      <c r="AA1473" s="46"/>
    </row>
    <row r="1474">
      <c r="A1474" s="46"/>
      <c r="B1474" s="46"/>
      <c r="C1474" s="46"/>
      <c r="D1474" s="46"/>
      <c r="E1474" s="46"/>
      <c r="F1474" s="46"/>
      <c r="G1474" s="46"/>
      <c r="H1474" s="46"/>
      <c r="I1474" s="46"/>
      <c r="J1474" s="46"/>
      <c r="K1474" s="46"/>
      <c r="L1474" s="46"/>
      <c r="M1474" s="46"/>
      <c r="N1474" s="46"/>
      <c r="O1474" s="46"/>
      <c r="P1474" s="46"/>
      <c r="Q1474" s="46"/>
      <c r="R1474" s="46"/>
      <c r="S1474" s="46"/>
      <c r="T1474" s="46"/>
      <c r="U1474" s="46"/>
      <c r="V1474" s="46"/>
      <c r="W1474" s="46"/>
      <c r="X1474" s="46"/>
      <c r="Y1474" s="46"/>
      <c r="Z1474" s="46"/>
      <c r="AA1474" s="46"/>
    </row>
    <row r="1475">
      <c r="A1475" s="46"/>
      <c r="B1475" s="46"/>
      <c r="C1475" s="46"/>
      <c r="D1475" s="46"/>
      <c r="E1475" s="46"/>
      <c r="F1475" s="46"/>
      <c r="G1475" s="46"/>
      <c r="H1475" s="46"/>
      <c r="I1475" s="46"/>
      <c r="J1475" s="46"/>
      <c r="K1475" s="46"/>
      <c r="L1475" s="46"/>
      <c r="M1475" s="46"/>
      <c r="N1475" s="46"/>
      <c r="O1475" s="46"/>
      <c r="P1475" s="46"/>
      <c r="Q1475" s="46"/>
      <c r="R1475" s="46"/>
      <c r="S1475" s="46"/>
      <c r="T1475" s="46"/>
      <c r="U1475" s="46"/>
      <c r="V1475" s="46"/>
      <c r="W1475" s="46"/>
      <c r="X1475" s="46"/>
      <c r="Y1475" s="46"/>
      <c r="Z1475" s="46"/>
      <c r="AA1475" s="46"/>
    </row>
    <row r="1476">
      <c r="A1476" s="46"/>
      <c r="B1476" s="46"/>
      <c r="C1476" s="46"/>
      <c r="D1476" s="46"/>
      <c r="E1476" s="46"/>
      <c r="F1476" s="46"/>
      <c r="G1476" s="46"/>
      <c r="H1476" s="46"/>
      <c r="I1476" s="46"/>
      <c r="J1476" s="46"/>
      <c r="K1476" s="46"/>
      <c r="L1476" s="46"/>
      <c r="M1476" s="46"/>
      <c r="N1476" s="46"/>
      <c r="O1476" s="46"/>
      <c r="P1476" s="46"/>
      <c r="Q1476" s="46"/>
      <c r="R1476" s="46"/>
      <c r="S1476" s="46"/>
      <c r="T1476" s="46"/>
      <c r="U1476" s="46"/>
      <c r="V1476" s="46"/>
      <c r="W1476" s="46"/>
      <c r="X1476" s="46"/>
      <c r="Y1476" s="46"/>
      <c r="Z1476" s="46"/>
      <c r="AA1476" s="46"/>
    </row>
    <row r="1477">
      <c r="A1477" s="46"/>
      <c r="B1477" s="46"/>
      <c r="C1477" s="46"/>
      <c r="D1477" s="46"/>
      <c r="E1477" s="46"/>
      <c r="F1477" s="46"/>
      <c r="G1477" s="46"/>
      <c r="H1477" s="46"/>
      <c r="I1477" s="46"/>
      <c r="J1477" s="46"/>
      <c r="K1477" s="46"/>
      <c r="L1477" s="46"/>
      <c r="M1477" s="46"/>
      <c r="N1477" s="46"/>
      <c r="O1477" s="46"/>
      <c r="P1477" s="46"/>
      <c r="Q1477" s="46"/>
      <c r="R1477" s="46"/>
      <c r="S1477" s="46"/>
      <c r="T1477" s="46"/>
      <c r="U1477" s="46"/>
      <c r="V1477" s="46"/>
      <c r="W1477" s="46"/>
      <c r="X1477" s="46"/>
      <c r="Y1477" s="46"/>
      <c r="Z1477" s="46"/>
      <c r="AA1477" s="46"/>
    </row>
    <row r="1478">
      <c r="A1478" s="46"/>
      <c r="B1478" s="46"/>
      <c r="C1478" s="46"/>
      <c r="D1478" s="46"/>
      <c r="E1478" s="46"/>
      <c r="F1478" s="46"/>
      <c r="G1478" s="46"/>
      <c r="H1478" s="46"/>
      <c r="I1478" s="46"/>
      <c r="J1478" s="46"/>
      <c r="K1478" s="46"/>
      <c r="L1478" s="46"/>
      <c r="M1478" s="46"/>
      <c r="N1478" s="46"/>
      <c r="O1478" s="46"/>
      <c r="P1478" s="46"/>
      <c r="Q1478" s="46"/>
      <c r="R1478" s="46"/>
      <c r="S1478" s="46"/>
      <c r="T1478" s="46"/>
      <c r="U1478" s="46"/>
      <c r="V1478" s="46"/>
      <c r="W1478" s="46"/>
      <c r="X1478" s="46"/>
      <c r="Y1478" s="46"/>
      <c r="Z1478" s="46"/>
      <c r="AA1478" s="46"/>
    </row>
    <row r="1479">
      <c r="A1479" s="46"/>
      <c r="B1479" s="46"/>
      <c r="C1479" s="46"/>
      <c r="D1479" s="46"/>
      <c r="E1479" s="46"/>
      <c r="F1479" s="46"/>
      <c r="G1479" s="46"/>
      <c r="H1479" s="46"/>
      <c r="I1479" s="46"/>
      <c r="J1479" s="46"/>
      <c r="K1479" s="46"/>
      <c r="L1479" s="46"/>
      <c r="M1479" s="46"/>
      <c r="N1479" s="46"/>
      <c r="O1479" s="46"/>
      <c r="P1479" s="46"/>
      <c r="Q1479" s="46"/>
      <c r="R1479" s="46"/>
      <c r="S1479" s="46"/>
      <c r="T1479" s="46"/>
      <c r="U1479" s="46"/>
      <c r="V1479" s="46"/>
      <c r="W1479" s="46"/>
      <c r="X1479" s="46"/>
      <c r="Y1479" s="46"/>
      <c r="Z1479" s="46"/>
      <c r="AA1479" s="46"/>
    </row>
    <row r="1480">
      <c r="A1480" s="46"/>
      <c r="B1480" s="46"/>
      <c r="C1480" s="46"/>
      <c r="D1480" s="46"/>
      <c r="E1480" s="46"/>
      <c r="F1480" s="46"/>
      <c r="G1480" s="46"/>
      <c r="H1480" s="46"/>
      <c r="I1480" s="46"/>
      <c r="J1480" s="46"/>
      <c r="K1480" s="46"/>
      <c r="L1480" s="46"/>
      <c r="M1480" s="46"/>
      <c r="N1480" s="46"/>
      <c r="O1480" s="46"/>
      <c r="P1480" s="46"/>
      <c r="Q1480" s="46"/>
      <c r="R1480" s="46"/>
      <c r="S1480" s="46"/>
      <c r="T1480" s="46"/>
      <c r="U1480" s="46"/>
      <c r="V1480" s="46"/>
      <c r="W1480" s="46"/>
      <c r="X1480" s="46"/>
      <c r="Y1480" s="46"/>
      <c r="Z1480" s="46"/>
      <c r="AA1480" s="46"/>
    </row>
    <row r="1481">
      <c r="A1481" s="46"/>
      <c r="B1481" s="46"/>
      <c r="C1481" s="46"/>
      <c r="D1481" s="46"/>
      <c r="E1481" s="46"/>
      <c r="F1481" s="46"/>
      <c r="G1481" s="46"/>
      <c r="H1481" s="46"/>
      <c r="I1481" s="46"/>
      <c r="J1481" s="46"/>
      <c r="K1481" s="46"/>
      <c r="L1481" s="46"/>
      <c r="M1481" s="46"/>
      <c r="N1481" s="46"/>
      <c r="O1481" s="46"/>
      <c r="P1481" s="46"/>
      <c r="Q1481" s="46"/>
      <c r="R1481" s="46"/>
      <c r="S1481" s="46"/>
      <c r="T1481" s="46"/>
      <c r="U1481" s="46"/>
      <c r="V1481" s="46"/>
      <c r="W1481" s="46"/>
      <c r="X1481" s="46"/>
      <c r="Y1481" s="46"/>
      <c r="Z1481" s="46"/>
      <c r="AA1481" s="46"/>
    </row>
    <row r="1482">
      <c r="A1482" s="46"/>
      <c r="B1482" s="46"/>
      <c r="C1482" s="46"/>
      <c r="D1482" s="46"/>
      <c r="E1482" s="46"/>
      <c r="F1482" s="46"/>
      <c r="G1482" s="46"/>
      <c r="H1482" s="46"/>
      <c r="I1482" s="46"/>
      <c r="J1482" s="46"/>
      <c r="K1482" s="46"/>
      <c r="L1482" s="46"/>
      <c r="M1482" s="46"/>
      <c r="N1482" s="46"/>
      <c r="O1482" s="46"/>
      <c r="P1482" s="46"/>
      <c r="Q1482" s="46"/>
      <c r="R1482" s="46"/>
      <c r="S1482" s="46"/>
      <c r="T1482" s="46"/>
      <c r="U1482" s="46"/>
      <c r="V1482" s="46"/>
      <c r="W1482" s="46"/>
      <c r="X1482" s="46"/>
      <c r="Y1482" s="46"/>
      <c r="Z1482" s="46"/>
      <c r="AA1482" s="46"/>
    </row>
    <row r="1483">
      <c r="A1483" s="46"/>
      <c r="B1483" s="46"/>
      <c r="C1483" s="46"/>
      <c r="D1483" s="46"/>
      <c r="E1483" s="46"/>
      <c r="F1483" s="46"/>
      <c r="G1483" s="46"/>
      <c r="H1483" s="46"/>
      <c r="I1483" s="46"/>
      <c r="J1483" s="46"/>
      <c r="K1483" s="46"/>
      <c r="L1483" s="46"/>
      <c r="M1483" s="46"/>
      <c r="N1483" s="46"/>
      <c r="O1483" s="46"/>
      <c r="P1483" s="46"/>
      <c r="Q1483" s="46"/>
      <c r="R1483" s="46"/>
      <c r="S1483" s="46"/>
      <c r="T1483" s="46"/>
      <c r="U1483" s="46"/>
      <c r="V1483" s="46"/>
      <c r="W1483" s="46"/>
      <c r="X1483" s="46"/>
      <c r="Y1483" s="46"/>
      <c r="Z1483" s="46"/>
      <c r="AA1483" s="46"/>
    </row>
    <row r="1484">
      <c r="A1484" s="46"/>
      <c r="B1484" s="46"/>
      <c r="C1484" s="46"/>
      <c r="D1484" s="46"/>
      <c r="E1484" s="46"/>
      <c r="F1484" s="46"/>
      <c r="G1484" s="46"/>
      <c r="H1484" s="46"/>
      <c r="I1484" s="46"/>
      <c r="J1484" s="46"/>
      <c r="K1484" s="46"/>
      <c r="L1484" s="46"/>
      <c r="M1484" s="46"/>
      <c r="N1484" s="46"/>
      <c r="O1484" s="46"/>
      <c r="P1484" s="46"/>
      <c r="Q1484" s="46"/>
      <c r="R1484" s="46"/>
      <c r="S1484" s="46"/>
      <c r="T1484" s="46"/>
      <c r="U1484" s="46"/>
      <c r="V1484" s="46"/>
      <c r="W1484" s="46"/>
      <c r="X1484" s="46"/>
      <c r="Y1484" s="46"/>
      <c r="Z1484" s="46"/>
      <c r="AA1484" s="46"/>
    </row>
    <row r="1485">
      <c r="A1485" s="46"/>
      <c r="B1485" s="46"/>
      <c r="C1485" s="46"/>
      <c r="D1485" s="46"/>
      <c r="E1485" s="46"/>
      <c r="F1485" s="46"/>
      <c r="G1485" s="46"/>
      <c r="H1485" s="46"/>
      <c r="I1485" s="46"/>
      <c r="J1485" s="46"/>
      <c r="K1485" s="46"/>
      <c r="L1485" s="46"/>
      <c r="M1485" s="46"/>
      <c r="N1485" s="46"/>
      <c r="O1485" s="46"/>
      <c r="P1485" s="46"/>
      <c r="Q1485" s="46"/>
      <c r="R1485" s="46"/>
      <c r="S1485" s="46"/>
      <c r="T1485" s="46"/>
      <c r="U1485" s="46"/>
      <c r="V1485" s="46"/>
      <c r="W1485" s="46"/>
      <c r="X1485" s="46"/>
      <c r="Y1485" s="46"/>
      <c r="Z1485" s="46"/>
      <c r="AA1485" s="46"/>
    </row>
    <row r="1486">
      <c r="A1486" s="46"/>
      <c r="B1486" s="46"/>
      <c r="C1486" s="46"/>
      <c r="D1486" s="46"/>
      <c r="E1486" s="46"/>
      <c r="F1486" s="46"/>
      <c r="G1486" s="46"/>
      <c r="H1486" s="46"/>
      <c r="I1486" s="46"/>
      <c r="J1486" s="46"/>
      <c r="K1486" s="46"/>
      <c r="L1486" s="46"/>
      <c r="M1486" s="46"/>
      <c r="N1486" s="46"/>
      <c r="O1486" s="46"/>
      <c r="P1486" s="46"/>
      <c r="Q1486" s="46"/>
      <c r="R1486" s="46"/>
      <c r="S1486" s="46"/>
      <c r="T1486" s="46"/>
      <c r="U1486" s="46"/>
      <c r="V1486" s="46"/>
      <c r="W1486" s="46"/>
      <c r="X1486" s="46"/>
      <c r="Y1486" s="46"/>
      <c r="Z1486" s="46"/>
      <c r="AA1486" s="46"/>
    </row>
    <row r="1487">
      <c r="A1487" s="46"/>
      <c r="B1487" s="46"/>
      <c r="C1487" s="46"/>
      <c r="D1487" s="46"/>
      <c r="E1487" s="46"/>
      <c r="F1487" s="46"/>
      <c r="G1487" s="46"/>
      <c r="H1487" s="46"/>
      <c r="I1487" s="46"/>
      <c r="J1487" s="46"/>
      <c r="K1487" s="46"/>
      <c r="L1487" s="46"/>
      <c r="M1487" s="46"/>
      <c r="N1487" s="46"/>
      <c r="O1487" s="46"/>
      <c r="P1487" s="46"/>
      <c r="Q1487" s="46"/>
      <c r="R1487" s="46"/>
      <c r="S1487" s="46"/>
      <c r="T1487" s="46"/>
      <c r="U1487" s="46"/>
      <c r="V1487" s="46"/>
      <c r="W1487" s="46"/>
      <c r="X1487" s="46"/>
      <c r="Y1487" s="46"/>
      <c r="Z1487" s="46"/>
      <c r="AA1487" s="46"/>
    </row>
    <row r="1488">
      <c r="A1488" s="46"/>
      <c r="B1488" s="46"/>
      <c r="C1488" s="46"/>
      <c r="D1488" s="46"/>
      <c r="E1488" s="46"/>
      <c r="F1488" s="46"/>
      <c r="G1488" s="46"/>
      <c r="H1488" s="46"/>
      <c r="I1488" s="46"/>
      <c r="J1488" s="46"/>
      <c r="K1488" s="46"/>
      <c r="L1488" s="46"/>
      <c r="M1488" s="46"/>
      <c r="N1488" s="46"/>
      <c r="O1488" s="46"/>
      <c r="P1488" s="46"/>
      <c r="Q1488" s="46"/>
      <c r="R1488" s="46"/>
      <c r="S1488" s="46"/>
      <c r="T1488" s="46"/>
      <c r="U1488" s="46"/>
      <c r="V1488" s="46"/>
      <c r="W1488" s="46"/>
      <c r="X1488" s="46"/>
      <c r="Y1488" s="46"/>
      <c r="Z1488" s="46"/>
      <c r="AA1488" s="46"/>
    </row>
    <row r="1489">
      <c r="A1489" s="46"/>
      <c r="B1489" s="46"/>
      <c r="C1489" s="46"/>
      <c r="D1489" s="46"/>
      <c r="E1489" s="46"/>
      <c r="F1489" s="46"/>
      <c r="G1489" s="46"/>
      <c r="H1489" s="46"/>
      <c r="I1489" s="46"/>
      <c r="J1489" s="46"/>
      <c r="K1489" s="46"/>
      <c r="L1489" s="46"/>
      <c r="M1489" s="46"/>
      <c r="N1489" s="46"/>
      <c r="O1489" s="46"/>
      <c r="P1489" s="46"/>
      <c r="Q1489" s="46"/>
      <c r="R1489" s="46"/>
      <c r="S1489" s="46"/>
      <c r="T1489" s="46"/>
      <c r="U1489" s="46"/>
      <c r="V1489" s="46"/>
      <c r="W1489" s="46"/>
      <c r="X1489" s="46"/>
      <c r="Y1489" s="46"/>
      <c r="Z1489" s="46"/>
      <c r="AA1489" s="46"/>
    </row>
    <row r="1490">
      <c r="A1490" s="46"/>
      <c r="B1490" s="46"/>
      <c r="C1490" s="46"/>
      <c r="D1490" s="46"/>
      <c r="E1490" s="46"/>
      <c r="F1490" s="46"/>
      <c r="G1490" s="46"/>
      <c r="H1490" s="46"/>
      <c r="I1490" s="46"/>
      <c r="J1490" s="46"/>
      <c r="K1490" s="46"/>
      <c r="L1490" s="46"/>
      <c r="M1490" s="46"/>
      <c r="N1490" s="46"/>
      <c r="O1490" s="46"/>
      <c r="P1490" s="46"/>
      <c r="Q1490" s="46"/>
      <c r="R1490" s="46"/>
      <c r="S1490" s="46"/>
      <c r="T1490" s="46"/>
      <c r="U1490" s="46"/>
      <c r="V1490" s="46"/>
      <c r="W1490" s="46"/>
      <c r="X1490" s="46"/>
      <c r="Y1490" s="46"/>
      <c r="Z1490" s="46"/>
      <c r="AA1490" s="46"/>
    </row>
    <row r="1491">
      <c r="A1491" s="46"/>
      <c r="B1491" s="46"/>
      <c r="C1491" s="46"/>
      <c r="D1491" s="46"/>
      <c r="E1491" s="46"/>
      <c r="F1491" s="46"/>
      <c r="G1491" s="46"/>
      <c r="H1491" s="46"/>
      <c r="I1491" s="46"/>
      <c r="J1491" s="46"/>
      <c r="K1491" s="46"/>
      <c r="L1491" s="46"/>
      <c r="M1491" s="46"/>
      <c r="N1491" s="46"/>
      <c r="O1491" s="46"/>
      <c r="P1491" s="46"/>
      <c r="Q1491" s="46"/>
      <c r="R1491" s="46"/>
      <c r="S1491" s="46"/>
      <c r="T1491" s="46"/>
      <c r="U1491" s="46"/>
      <c r="V1491" s="46"/>
      <c r="W1491" s="46"/>
      <c r="X1491" s="46"/>
      <c r="Y1491" s="46"/>
      <c r="Z1491" s="46"/>
      <c r="AA1491" s="46"/>
    </row>
    <row r="1492">
      <c r="A1492" s="46"/>
      <c r="B1492" s="46"/>
      <c r="C1492" s="46"/>
      <c r="D1492" s="46"/>
      <c r="E1492" s="46"/>
      <c r="F1492" s="46"/>
      <c r="G1492" s="46"/>
      <c r="H1492" s="46"/>
      <c r="I1492" s="46"/>
      <c r="J1492" s="46"/>
      <c r="K1492" s="46"/>
      <c r="L1492" s="46"/>
      <c r="M1492" s="46"/>
      <c r="N1492" s="46"/>
      <c r="O1492" s="46"/>
      <c r="P1492" s="46"/>
      <c r="Q1492" s="46"/>
      <c r="R1492" s="46"/>
      <c r="S1492" s="46"/>
      <c r="T1492" s="46"/>
      <c r="U1492" s="46"/>
      <c r="V1492" s="46"/>
      <c r="W1492" s="46"/>
      <c r="X1492" s="46"/>
      <c r="Y1492" s="46"/>
      <c r="Z1492" s="46"/>
      <c r="AA1492" s="46"/>
    </row>
    <row r="1493">
      <c r="A1493" s="46"/>
      <c r="B1493" s="46"/>
      <c r="C1493" s="46"/>
      <c r="D1493" s="46"/>
      <c r="E1493" s="46"/>
      <c r="F1493" s="46"/>
      <c r="G1493" s="46"/>
      <c r="H1493" s="46"/>
      <c r="I1493" s="46"/>
      <c r="J1493" s="46"/>
      <c r="K1493" s="46"/>
      <c r="L1493" s="46"/>
      <c r="M1493" s="46"/>
      <c r="N1493" s="46"/>
      <c r="O1493" s="46"/>
      <c r="P1493" s="46"/>
      <c r="Q1493" s="46"/>
      <c r="R1493" s="46"/>
      <c r="S1493" s="46"/>
      <c r="T1493" s="46"/>
      <c r="U1493" s="46"/>
      <c r="V1493" s="46"/>
      <c r="W1493" s="46"/>
      <c r="X1493" s="46"/>
      <c r="Y1493" s="46"/>
      <c r="Z1493" s="46"/>
      <c r="AA1493" s="46"/>
    </row>
    <row r="1494">
      <c r="A1494" s="46"/>
      <c r="B1494" s="46"/>
      <c r="C1494" s="46"/>
      <c r="D1494" s="46"/>
      <c r="E1494" s="46"/>
      <c r="F1494" s="46"/>
      <c r="G1494" s="46"/>
      <c r="H1494" s="46"/>
      <c r="I1494" s="46"/>
      <c r="J1494" s="46"/>
      <c r="K1494" s="46"/>
      <c r="L1494" s="46"/>
      <c r="M1494" s="46"/>
      <c r="N1494" s="46"/>
      <c r="O1494" s="46"/>
      <c r="P1494" s="46"/>
      <c r="Q1494" s="46"/>
      <c r="R1494" s="46"/>
      <c r="S1494" s="46"/>
      <c r="T1494" s="46"/>
      <c r="U1494" s="46"/>
      <c r="V1494" s="46"/>
      <c r="W1494" s="46"/>
      <c r="X1494" s="46"/>
      <c r="Y1494" s="46"/>
      <c r="Z1494" s="46"/>
      <c r="AA1494" s="46"/>
    </row>
    <row r="1495">
      <c r="A1495" s="46"/>
      <c r="B1495" s="46"/>
      <c r="C1495" s="46"/>
      <c r="D1495" s="46"/>
      <c r="E1495" s="46"/>
      <c r="F1495" s="46"/>
      <c r="G1495" s="46"/>
      <c r="H1495" s="46"/>
      <c r="I1495" s="46"/>
      <c r="J1495" s="46"/>
      <c r="K1495" s="46"/>
      <c r="L1495" s="46"/>
      <c r="M1495" s="46"/>
      <c r="N1495" s="46"/>
      <c r="O1495" s="46"/>
      <c r="P1495" s="46"/>
      <c r="Q1495" s="46"/>
      <c r="R1495" s="46"/>
      <c r="S1495" s="46"/>
      <c r="T1495" s="46"/>
      <c r="U1495" s="46"/>
      <c r="V1495" s="46"/>
      <c r="W1495" s="46"/>
      <c r="X1495" s="46"/>
      <c r="Y1495" s="46"/>
      <c r="Z1495" s="46"/>
      <c r="AA1495" s="46"/>
    </row>
    <row r="1496">
      <c r="A1496" s="46"/>
      <c r="B1496" s="46"/>
      <c r="C1496" s="46"/>
      <c r="D1496" s="46"/>
      <c r="E1496" s="46"/>
      <c r="F1496" s="46"/>
      <c r="G1496" s="46"/>
      <c r="H1496" s="46"/>
      <c r="I1496" s="46"/>
      <c r="J1496" s="46"/>
      <c r="K1496" s="46"/>
      <c r="L1496" s="46"/>
      <c r="M1496" s="46"/>
      <c r="N1496" s="46"/>
      <c r="O1496" s="46"/>
      <c r="P1496" s="46"/>
      <c r="Q1496" s="46"/>
      <c r="R1496" s="46"/>
      <c r="S1496" s="46"/>
      <c r="T1496" s="46"/>
      <c r="U1496" s="46"/>
      <c r="V1496" s="46"/>
      <c r="W1496" s="46"/>
      <c r="X1496" s="46"/>
      <c r="Y1496" s="46"/>
      <c r="Z1496" s="46"/>
      <c r="AA1496" s="46"/>
    </row>
    <row r="1497">
      <c r="A1497" s="46"/>
      <c r="B1497" s="46"/>
      <c r="C1497" s="46"/>
      <c r="D1497" s="46"/>
      <c r="E1497" s="46"/>
      <c r="F1497" s="46"/>
      <c r="G1497" s="46"/>
      <c r="H1497" s="46"/>
      <c r="I1497" s="46"/>
      <c r="J1497" s="46"/>
      <c r="K1497" s="46"/>
      <c r="L1497" s="46"/>
      <c r="M1497" s="46"/>
      <c r="N1497" s="46"/>
      <c r="O1497" s="46"/>
      <c r="P1497" s="46"/>
      <c r="Q1497" s="46"/>
      <c r="R1497" s="46"/>
      <c r="S1497" s="46"/>
      <c r="T1497" s="46"/>
      <c r="U1497" s="46"/>
      <c r="V1497" s="46"/>
      <c r="W1497" s="46"/>
      <c r="X1497" s="46"/>
      <c r="Y1497" s="46"/>
      <c r="Z1497" s="46"/>
      <c r="AA1497" s="46"/>
    </row>
    <row r="1498">
      <c r="A1498" s="46"/>
      <c r="B1498" s="46"/>
      <c r="C1498" s="46"/>
      <c r="D1498" s="46"/>
      <c r="E1498" s="46"/>
      <c r="F1498" s="46"/>
      <c r="G1498" s="46"/>
      <c r="H1498" s="46"/>
      <c r="I1498" s="46"/>
      <c r="J1498" s="46"/>
      <c r="K1498" s="46"/>
      <c r="L1498" s="46"/>
      <c r="M1498" s="46"/>
      <c r="N1498" s="46"/>
      <c r="O1498" s="46"/>
      <c r="P1498" s="46"/>
      <c r="Q1498" s="46"/>
      <c r="R1498" s="46"/>
      <c r="S1498" s="46"/>
      <c r="T1498" s="46"/>
      <c r="U1498" s="46"/>
      <c r="V1498" s="46"/>
      <c r="W1498" s="46"/>
      <c r="X1498" s="46"/>
      <c r="Y1498" s="46"/>
      <c r="Z1498" s="46"/>
      <c r="AA1498" s="46"/>
    </row>
  </sheetData>
  <autoFilter ref="$A$3:$R$396"/>
  <mergeCells count="1">
    <mergeCell ref="K3:O3"/>
  </mergeCells>
  <drawing r:id="rId1"/>
</worksheet>
</file>