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z_\Desktop\"/>
    </mc:Choice>
  </mc:AlternateContent>
  <xr:revisionPtr revIDLastSave="0" documentId="8_{DF31A378-F98F-4F2B-BD05-09D6356D0878}" xr6:coauthVersionLast="47" xr6:coauthVersionMax="47" xr10:uidLastSave="{00000000-0000-0000-0000-000000000000}"/>
  <bookViews>
    <workbookView xWindow="-93" yWindow="-93" windowWidth="25786" windowHeight="13986" xr2:uid="{D01A7986-981B-43A6-AB7A-9FCD80A66E2A}"/>
  </bookViews>
  <sheets>
    <sheet name="PlayData" sheetId="1" r:id="rId1"/>
    <sheet name="PassingData" sheetId="2" r:id="rId2"/>
    <sheet name="RunningData" sheetId="3" r:id="rId3"/>
    <sheet name="ReceivingData" sheetId="4" r:id="rId4"/>
    <sheet name="TeamEff" sheetId="5" r:id="rId5"/>
  </sheets>
  <definedNames>
    <definedName name="_xlnm._FilterDatabase" localSheetId="0" hidden="1">PlayData!$A$1:$AK$76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11" i="1" l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J207" i="1"/>
  <c r="AI207" i="1"/>
  <c r="AH207" i="1"/>
  <c r="AG207" i="1"/>
  <c r="AJ206" i="1"/>
  <c r="AI206" i="1"/>
  <c r="AH206" i="1"/>
  <c r="AG206" i="1"/>
  <c r="AJ205" i="1"/>
  <c r="AI205" i="1"/>
  <c r="AH205" i="1"/>
  <c r="AG205" i="1"/>
  <c r="AJ204" i="1"/>
  <c r="AI204" i="1"/>
  <c r="AH204" i="1"/>
  <c r="AG204" i="1"/>
  <c r="AJ203" i="1"/>
  <c r="AI203" i="1"/>
  <c r="AH203" i="1"/>
  <c r="AG203" i="1"/>
  <c r="AJ202" i="1"/>
  <c r="AI202" i="1"/>
  <c r="AH202" i="1"/>
  <c r="AG202" i="1"/>
  <c r="AJ201" i="1"/>
  <c r="AI201" i="1"/>
  <c r="AH201" i="1"/>
  <c r="AG201" i="1"/>
  <c r="AJ200" i="1"/>
  <c r="AI200" i="1"/>
  <c r="AH200" i="1"/>
  <c r="AG200" i="1"/>
  <c r="AJ199" i="1"/>
  <c r="AI199" i="1"/>
  <c r="AH199" i="1"/>
  <c r="AG199" i="1"/>
  <c r="AJ198" i="1"/>
  <c r="AI198" i="1"/>
  <c r="AH198" i="1"/>
  <c r="AG198" i="1"/>
  <c r="AJ197" i="1"/>
  <c r="AI197" i="1"/>
  <c r="AH197" i="1"/>
  <c r="AG197" i="1"/>
  <c r="AJ196" i="1"/>
  <c r="AI196" i="1"/>
  <c r="AH196" i="1"/>
  <c r="AG196" i="1"/>
  <c r="AJ195" i="1"/>
  <c r="AI195" i="1"/>
  <c r="AH195" i="1"/>
  <c r="AG195" i="1"/>
  <c r="AJ194" i="1"/>
  <c r="AI194" i="1"/>
  <c r="AH194" i="1"/>
  <c r="AG194" i="1"/>
  <c r="AJ193" i="1"/>
  <c r="AI193" i="1"/>
  <c r="AH193" i="1"/>
  <c r="AG193" i="1"/>
  <c r="AJ192" i="1"/>
  <c r="AI192" i="1"/>
  <c r="AH192" i="1"/>
  <c r="AG192" i="1"/>
  <c r="AJ191" i="1"/>
  <c r="AI191" i="1"/>
  <c r="AH191" i="1"/>
  <c r="AG191" i="1"/>
  <c r="AJ190" i="1"/>
  <c r="AI190" i="1"/>
  <c r="AH190" i="1"/>
  <c r="AG190" i="1"/>
  <c r="AJ189" i="1"/>
  <c r="AI189" i="1"/>
  <c r="AH189" i="1"/>
  <c r="AG189" i="1"/>
  <c r="AJ188" i="1"/>
  <c r="AI188" i="1"/>
  <c r="AH188" i="1"/>
  <c r="AG188" i="1"/>
  <c r="AJ187" i="1"/>
  <c r="AI187" i="1"/>
  <c r="AH187" i="1"/>
  <c r="AG187" i="1"/>
  <c r="AJ186" i="1"/>
  <c r="AI186" i="1"/>
  <c r="AH186" i="1"/>
  <c r="AG186" i="1"/>
  <c r="AJ185" i="1"/>
  <c r="AI185" i="1"/>
  <c r="AH185" i="1"/>
  <c r="AG185" i="1"/>
  <c r="AJ184" i="1"/>
  <c r="AI184" i="1"/>
  <c r="AH184" i="1"/>
  <c r="AG184" i="1"/>
  <c r="AJ183" i="1"/>
  <c r="AI183" i="1"/>
  <c r="AH183" i="1"/>
  <c r="AG183" i="1"/>
  <c r="AJ182" i="1"/>
  <c r="AI182" i="1"/>
  <c r="AH182" i="1"/>
  <c r="AG182" i="1"/>
  <c r="AJ181" i="1"/>
  <c r="AI181" i="1"/>
  <c r="AH181" i="1"/>
  <c r="AG181" i="1"/>
  <c r="AJ180" i="1"/>
  <c r="AI180" i="1"/>
  <c r="AH180" i="1"/>
  <c r="AG180" i="1"/>
  <c r="AJ179" i="1"/>
  <c r="AI179" i="1"/>
  <c r="AH179" i="1"/>
  <c r="AG179" i="1"/>
  <c r="AJ178" i="1"/>
  <c r="AI178" i="1"/>
  <c r="AH178" i="1"/>
  <c r="AG178" i="1"/>
  <c r="AJ177" i="1"/>
  <c r="AI177" i="1"/>
  <c r="AH177" i="1"/>
  <c r="AG177" i="1"/>
  <c r="AJ176" i="1"/>
  <c r="AI176" i="1"/>
  <c r="AH176" i="1"/>
  <c r="AG176" i="1"/>
  <c r="AJ175" i="1"/>
  <c r="AI175" i="1"/>
  <c r="AH175" i="1"/>
  <c r="AG175" i="1"/>
  <c r="AJ174" i="1"/>
  <c r="AI174" i="1"/>
  <c r="AH174" i="1"/>
  <c r="AG174" i="1"/>
  <c r="AJ173" i="1"/>
  <c r="AI173" i="1"/>
  <c r="AH173" i="1"/>
  <c r="AG173" i="1"/>
  <c r="AJ172" i="1"/>
  <c r="AI172" i="1"/>
  <c r="AH172" i="1"/>
  <c r="AG172" i="1"/>
  <c r="AJ171" i="1"/>
  <c r="AI171" i="1"/>
  <c r="AH171" i="1"/>
  <c r="AG171" i="1"/>
  <c r="AJ170" i="1"/>
  <c r="AI170" i="1"/>
  <c r="AH170" i="1"/>
  <c r="AG170" i="1"/>
  <c r="AJ169" i="1"/>
  <c r="AI169" i="1"/>
  <c r="AH169" i="1"/>
  <c r="AG169" i="1"/>
  <c r="AJ168" i="1"/>
  <c r="AI168" i="1"/>
  <c r="AH168" i="1"/>
  <c r="AG168" i="1"/>
  <c r="AJ167" i="1"/>
  <c r="AI167" i="1"/>
  <c r="AH167" i="1"/>
  <c r="AG167" i="1"/>
  <c r="AJ166" i="1"/>
  <c r="AI166" i="1"/>
  <c r="AH166" i="1"/>
  <c r="AG166" i="1"/>
  <c r="AJ165" i="1"/>
  <c r="AI165" i="1"/>
  <c r="AH165" i="1"/>
  <c r="AG165" i="1"/>
  <c r="AJ164" i="1"/>
  <c r="AI164" i="1"/>
  <c r="AH164" i="1"/>
  <c r="AG164" i="1"/>
  <c r="AJ163" i="1"/>
  <c r="AI163" i="1"/>
  <c r="AH163" i="1"/>
  <c r="AG163" i="1"/>
  <c r="AJ162" i="1"/>
  <c r="AI162" i="1"/>
  <c r="AH162" i="1"/>
  <c r="AG162" i="1"/>
  <c r="AJ161" i="1"/>
  <c r="AI161" i="1"/>
  <c r="AH161" i="1"/>
  <c r="AG161" i="1"/>
  <c r="AJ160" i="1"/>
  <c r="AI160" i="1"/>
  <c r="AH160" i="1"/>
  <c r="AG160" i="1"/>
  <c r="AJ159" i="1"/>
  <c r="AI159" i="1"/>
  <c r="AH159" i="1"/>
  <c r="AG159" i="1"/>
  <c r="AJ158" i="1"/>
  <c r="AI158" i="1"/>
  <c r="AH158" i="1"/>
  <c r="AG158" i="1"/>
  <c r="AJ157" i="1"/>
  <c r="AI157" i="1"/>
  <c r="AH157" i="1"/>
  <c r="AG157" i="1"/>
  <c r="AJ156" i="1"/>
  <c r="AI156" i="1"/>
  <c r="AH156" i="1"/>
  <c r="AG156" i="1"/>
  <c r="AJ155" i="1"/>
  <c r="AI155" i="1"/>
  <c r="AH155" i="1"/>
  <c r="AG155" i="1"/>
  <c r="AJ154" i="1"/>
  <c r="AI154" i="1"/>
  <c r="AH154" i="1"/>
  <c r="AG154" i="1"/>
  <c r="AJ153" i="1"/>
  <c r="AI153" i="1"/>
  <c r="AH153" i="1"/>
  <c r="AG153" i="1"/>
  <c r="AJ152" i="1"/>
  <c r="AI152" i="1"/>
  <c r="AH152" i="1"/>
  <c r="AG152" i="1"/>
  <c r="AJ151" i="1"/>
  <c r="AI151" i="1"/>
  <c r="AH151" i="1"/>
  <c r="AG151" i="1"/>
  <c r="AJ150" i="1"/>
  <c r="AI150" i="1"/>
  <c r="AH150" i="1"/>
  <c r="AG150" i="1"/>
  <c r="AJ149" i="1"/>
  <c r="AI149" i="1"/>
  <c r="AH149" i="1"/>
  <c r="AG149" i="1"/>
  <c r="AJ148" i="1"/>
  <c r="AI148" i="1"/>
  <c r="AH148" i="1"/>
  <c r="AG148" i="1"/>
  <c r="AJ147" i="1"/>
  <c r="AI147" i="1"/>
  <c r="AH147" i="1"/>
  <c r="AG147" i="1"/>
  <c r="AJ146" i="1"/>
  <c r="AI146" i="1"/>
  <c r="AH146" i="1"/>
  <c r="AG146" i="1"/>
  <c r="AJ145" i="1"/>
  <c r="AI145" i="1"/>
  <c r="AH145" i="1"/>
  <c r="AG145" i="1"/>
  <c r="AJ144" i="1" l="1"/>
  <c r="AI144" i="1"/>
  <c r="AH144" i="1"/>
  <c r="AG144" i="1"/>
  <c r="AJ143" i="1"/>
  <c r="AI143" i="1"/>
  <c r="AH143" i="1"/>
  <c r="AG143" i="1"/>
  <c r="AJ142" i="1"/>
  <c r="AI142" i="1"/>
  <c r="AH142" i="1"/>
  <c r="AG142" i="1"/>
  <c r="AJ141" i="1"/>
  <c r="AI141" i="1"/>
  <c r="AH141" i="1"/>
  <c r="AG141" i="1"/>
  <c r="AJ140" i="1"/>
  <c r="AI140" i="1"/>
  <c r="AH140" i="1"/>
  <c r="AG140" i="1"/>
  <c r="AJ139" i="1"/>
  <c r="AI139" i="1"/>
  <c r="AH139" i="1"/>
  <c r="AG139" i="1"/>
  <c r="AJ138" i="1"/>
  <c r="AI138" i="1"/>
  <c r="AH138" i="1"/>
  <c r="AG138" i="1"/>
  <c r="AJ137" i="1"/>
  <c r="AI137" i="1"/>
  <c r="AH137" i="1"/>
  <c r="AG137" i="1"/>
  <c r="AJ136" i="1"/>
  <c r="AI136" i="1"/>
  <c r="AH136" i="1"/>
  <c r="AG136" i="1"/>
  <c r="AJ135" i="1"/>
  <c r="AI135" i="1"/>
  <c r="AH135" i="1"/>
  <c r="AG135" i="1"/>
  <c r="AJ134" i="1"/>
  <c r="AI134" i="1"/>
  <c r="AH134" i="1"/>
  <c r="AG134" i="1"/>
  <c r="AJ133" i="1"/>
  <c r="AI133" i="1"/>
  <c r="AH133" i="1"/>
  <c r="AG133" i="1"/>
  <c r="AJ132" i="1"/>
  <c r="AI132" i="1"/>
  <c r="AH132" i="1"/>
  <c r="AG132" i="1"/>
  <c r="AJ131" i="1"/>
  <c r="AI131" i="1"/>
  <c r="AH131" i="1"/>
  <c r="AG131" i="1"/>
  <c r="AJ130" i="1"/>
  <c r="AI130" i="1"/>
  <c r="AH130" i="1"/>
  <c r="AG130" i="1"/>
  <c r="AJ129" i="1"/>
  <c r="AI129" i="1"/>
  <c r="AH129" i="1"/>
  <c r="AG129" i="1"/>
  <c r="AJ128" i="1"/>
  <c r="AI128" i="1"/>
  <c r="AH128" i="1"/>
  <c r="AG128" i="1"/>
  <c r="AJ127" i="1"/>
  <c r="AI127" i="1"/>
  <c r="AH127" i="1"/>
  <c r="AG127" i="1"/>
  <c r="AJ126" i="1"/>
  <c r="AI126" i="1"/>
  <c r="AH126" i="1"/>
  <c r="AG126" i="1"/>
  <c r="AJ125" i="1"/>
  <c r="AI125" i="1"/>
  <c r="AH125" i="1"/>
  <c r="AG125" i="1"/>
  <c r="AJ124" i="1"/>
  <c r="AI124" i="1"/>
  <c r="AH124" i="1"/>
  <c r="AG124" i="1"/>
  <c r="AJ123" i="1"/>
  <c r="AI123" i="1"/>
  <c r="AH123" i="1"/>
  <c r="AG123" i="1"/>
  <c r="AJ122" i="1"/>
  <c r="AI122" i="1"/>
  <c r="AH122" i="1"/>
  <c r="AG122" i="1"/>
  <c r="AJ121" i="1"/>
  <c r="AI121" i="1"/>
  <c r="AH121" i="1"/>
  <c r="AG121" i="1"/>
  <c r="AJ120" i="1"/>
  <c r="AI120" i="1"/>
  <c r="AH120" i="1"/>
  <c r="AG120" i="1"/>
  <c r="AJ119" i="1"/>
  <c r="AI119" i="1"/>
  <c r="AH119" i="1"/>
  <c r="AG119" i="1"/>
  <c r="AJ118" i="1"/>
  <c r="AI118" i="1"/>
  <c r="AH118" i="1"/>
  <c r="AG118" i="1"/>
  <c r="AJ117" i="1"/>
  <c r="AI117" i="1"/>
  <c r="AH117" i="1"/>
  <c r="AG117" i="1"/>
  <c r="AJ116" i="1"/>
  <c r="AI116" i="1"/>
  <c r="AH116" i="1"/>
  <c r="AG116" i="1"/>
  <c r="AJ115" i="1"/>
  <c r="AI115" i="1"/>
  <c r="AH115" i="1"/>
  <c r="AG115" i="1"/>
  <c r="AJ114" i="1"/>
  <c r="AI114" i="1"/>
  <c r="AH114" i="1"/>
  <c r="AG114" i="1"/>
  <c r="AJ113" i="1"/>
  <c r="AI113" i="1"/>
  <c r="AH113" i="1"/>
  <c r="AG113" i="1"/>
  <c r="AJ112" i="1"/>
  <c r="AI112" i="1"/>
  <c r="AH112" i="1"/>
  <c r="AG112" i="1"/>
  <c r="AJ111" i="1"/>
  <c r="AI111" i="1"/>
  <c r="AH111" i="1"/>
  <c r="AG111" i="1"/>
  <c r="AJ110" i="1"/>
  <c r="AI110" i="1"/>
  <c r="AH110" i="1"/>
  <c r="AG110" i="1"/>
  <c r="AJ109" i="1"/>
  <c r="AI109" i="1"/>
  <c r="AH109" i="1"/>
  <c r="AG109" i="1"/>
  <c r="AJ108" i="1"/>
  <c r="AI108" i="1"/>
  <c r="AH108" i="1"/>
  <c r="AG108" i="1"/>
  <c r="AJ107" i="1"/>
  <c r="AI107" i="1"/>
  <c r="AH107" i="1"/>
  <c r="AG107" i="1"/>
  <c r="AJ106" i="1"/>
  <c r="AI106" i="1"/>
  <c r="AH106" i="1"/>
  <c r="AG106" i="1"/>
  <c r="AJ105" i="1"/>
  <c r="AI105" i="1"/>
  <c r="AH105" i="1"/>
  <c r="AG105" i="1"/>
  <c r="AJ104" i="1"/>
  <c r="AI104" i="1"/>
  <c r="AH104" i="1"/>
  <c r="AG104" i="1"/>
  <c r="AJ103" i="1"/>
  <c r="AI103" i="1"/>
  <c r="AH103" i="1"/>
  <c r="AG103" i="1"/>
  <c r="AJ102" i="1"/>
  <c r="AI102" i="1"/>
  <c r="AH102" i="1"/>
  <c r="AG102" i="1"/>
  <c r="AJ101" i="1"/>
  <c r="AI101" i="1"/>
  <c r="AH101" i="1"/>
  <c r="AG101" i="1"/>
  <c r="AJ100" i="1"/>
  <c r="AI100" i="1"/>
  <c r="AH100" i="1"/>
  <c r="AG100" i="1"/>
  <c r="AJ99" i="1"/>
  <c r="AI99" i="1"/>
  <c r="AH99" i="1"/>
  <c r="AG99" i="1"/>
  <c r="AJ98" i="1"/>
  <c r="AI98" i="1"/>
  <c r="AH98" i="1"/>
  <c r="AG98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94" i="1"/>
  <c r="AI94" i="1"/>
  <c r="AH94" i="1"/>
  <c r="AG94" i="1"/>
  <c r="AJ93" i="1"/>
  <c r="AI93" i="1"/>
  <c r="AH93" i="1"/>
  <c r="AG93" i="1"/>
  <c r="AJ92" i="1"/>
  <c r="AI92" i="1"/>
  <c r="AH92" i="1"/>
  <c r="AG92" i="1"/>
  <c r="AJ91" i="1"/>
  <c r="AI91" i="1"/>
  <c r="AH91" i="1"/>
  <c r="AG91" i="1"/>
  <c r="AJ90" i="1"/>
  <c r="AI90" i="1"/>
  <c r="AH90" i="1"/>
  <c r="AG90" i="1"/>
  <c r="AJ89" i="1"/>
  <c r="AI89" i="1"/>
  <c r="AH89" i="1"/>
  <c r="AG89" i="1"/>
  <c r="AJ88" i="1"/>
  <c r="AI88" i="1"/>
  <c r="AH88" i="1"/>
  <c r="AG88" i="1"/>
  <c r="AJ87" i="1"/>
  <c r="AI87" i="1"/>
  <c r="AH87" i="1"/>
  <c r="AG87" i="1"/>
  <c r="AJ86" i="1"/>
  <c r="AI86" i="1"/>
  <c r="AH86" i="1"/>
  <c r="AG86" i="1"/>
  <c r="AJ85" i="1"/>
  <c r="AI85" i="1"/>
  <c r="AH85" i="1"/>
  <c r="AG85" i="1"/>
  <c r="AJ84" i="1"/>
  <c r="AI84" i="1"/>
  <c r="AH84" i="1"/>
  <c r="AG84" i="1"/>
  <c r="AJ83" i="1"/>
  <c r="AI83" i="1"/>
  <c r="AH83" i="1"/>
  <c r="AG83" i="1"/>
  <c r="AJ82" i="1"/>
  <c r="AI82" i="1"/>
  <c r="AH82" i="1"/>
  <c r="AG82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78" i="1"/>
  <c r="AI78" i="1"/>
  <c r="AH78" i="1"/>
  <c r="AG78" i="1"/>
  <c r="AJ77" i="1"/>
  <c r="AI77" i="1"/>
  <c r="AH77" i="1"/>
  <c r="AG77" i="1"/>
  <c r="BL2" i="2" l="1"/>
  <c r="B28" i="5"/>
  <c r="C28" i="5"/>
  <c r="D28" i="5"/>
  <c r="AG70" i="1"/>
  <c r="AH70" i="1"/>
  <c r="AI70" i="1"/>
  <c r="AJ70" i="1"/>
  <c r="AG71" i="1"/>
  <c r="AH71" i="1"/>
  <c r="AI71" i="1"/>
  <c r="AJ71" i="1"/>
  <c r="AG72" i="1"/>
  <c r="AH72" i="1"/>
  <c r="AI72" i="1"/>
  <c r="AJ72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G76" i="1"/>
  <c r="AH76" i="1"/>
  <c r="AI76" i="1"/>
  <c r="AJ76" i="1"/>
  <c r="L2" i="2"/>
  <c r="AG2" i="1"/>
  <c r="AH2" i="1"/>
  <c r="AI2" i="1"/>
  <c r="AJ2" i="1"/>
  <c r="AG3" i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AG37" i="1"/>
  <c r="AH37" i="1"/>
  <c r="AI37" i="1"/>
  <c r="AJ37" i="1"/>
  <c r="AG38" i="1"/>
  <c r="AH38" i="1"/>
  <c r="AI38" i="1"/>
  <c r="AJ38" i="1"/>
  <c r="AG39" i="1"/>
  <c r="AH39" i="1"/>
  <c r="AI39" i="1"/>
  <c r="AJ39" i="1"/>
  <c r="AG40" i="1"/>
  <c r="AH40" i="1"/>
  <c r="AI40" i="1"/>
  <c r="AJ40" i="1"/>
  <c r="AG41" i="1"/>
  <c r="AH41" i="1"/>
  <c r="AI41" i="1"/>
  <c r="AJ41" i="1"/>
  <c r="AG42" i="1"/>
  <c r="AH42" i="1"/>
  <c r="AI42" i="1"/>
  <c r="AJ42" i="1"/>
  <c r="AG43" i="1"/>
  <c r="AH43" i="1"/>
  <c r="AI43" i="1"/>
  <c r="AJ43" i="1"/>
  <c r="AG44" i="1"/>
  <c r="AH44" i="1"/>
  <c r="AI44" i="1"/>
  <c r="AJ44" i="1"/>
  <c r="AG45" i="1"/>
  <c r="AH45" i="1"/>
  <c r="AI45" i="1"/>
  <c r="AJ45" i="1"/>
  <c r="AG46" i="1"/>
  <c r="AH46" i="1"/>
  <c r="AI46" i="1"/>
  <c r="AJ46" i="1"/>
  <c r="AG47" i="1"/>
  <c r="AH47" i="1"/>
  <c r="AI47" i="1"/>
  <c r="AJ47" i="1"/>
  <c r="AG48" i="1"/>
  <c r="AH48" i="1"/>
  <c r="AI48" i="1"/>
  <c r="AJ48" i="1"/>
  <c r="AG49" i="1"/>
  <c r="AH49" i="1"/>
  <c r="AI49" i="1"/>
  <c r="AJ49" i="1"/>
  <c r="AG50" i="1"/>
  <c r="AH50" i="1"/>
  <c r="AI50" i="1"/>
  <c r="AJ50" i="1"/>
  <c r="AG51" i="1"/>
  <c r="AH51" i="1"/>
  <c r="AI51" i="1"/>
  <c r="AJ51" i="1"/>
  <c r="AG52" i="1"/>
  <c r="AH52" i="1"/>
  <c r="AI52" i="1"/>
  <c r="AJ52" i="1"/>
  <c r="AG53" i="1"/>
  <c r="AH53" i="1"/>
  <c r="AI53" i="1"/>
  <c r="AJ53" i="1"/>
  <c r="AG54" i="1"/>
  <c r="AH54" i="1"/>
  <c r="AI54" i="1"/>
  <c r="AJ54" i="1"/>
  <c r="AG55" i="1"/>
  <c r="AH55" i="1"/>
  <c r="AI55" i="1"/>
  <c r="AJ55" i="1"/>
  <c r="AG56" i="1"/>
  <c r="AH56" i="1"/>
  <c r="AI56" i="1"/>
  <c r="AJ56" i="1"/>
  <c r="AG57" i="1"/>
  <c r="AH57" i="1"/>
  <c r="AI57" i="1"/>
  <c r="AJ57" i="1"/>
  <c r="AG58" i="1"/>
  <c r="AH58" i="1"/>
  <c r="AI58" i="1"/>
  <c r="AJ58" i="1"/>
  <c r="AG59" i="1"/>
  <c r="AH59" i="1"/>
  <c r="AI59" i="1"/>
  <c r="AJ59" i="1"/>
  <c r="AG60" i="1"/>
  <c r="AH60" i="1"/>
  <c r="AI60" i="1"/>
  <c r="AJ60" i="1"/>
  <c r="AG61" i="1"/>
  <c r="AH61" i="1"/>
  <c r="AI61" i="1"/>
  <c r="AJ61" i="1"/>
  <c r="AG62" i="1"/>
  <c r="AH62" i="1"/>
  <c r="AI62" i="1"/>
  <c r="AJ62" i="1"/>
  <c r="AG63" i="1"/>
  <c r="AH63" i="1"/>
  <c r="AI63" i="1"/>
  <c r="AJ63" i="1"/>
  <c r="AG64" i="1"/>
  <c r="AH64" i="1"/>
  <c r="AI64" i="1"/>
  <c r="AJ64" i="1"/>
  <c r="AG65" i="1"/>
  <c r="AH65" i="1"/>
  <c r="AI65" i="1"/>
  <c r="AJ65" i="1"/>
  <c r="AG66" i="1"/>
  <c r="AH66" i="1"/>
  <c r="AI66" i="1"/>
  <c r="AJ66" i="1"/>
  <c r="AG67" i="1"/>
  <c r="AH67" i="1"/>
  <c r="AI67" i="1"/>
  <c r="AJ67" i="1"/>
  <c r="AG68" i="1"/>
  <c r="AH68" i="1"/>
  <c r="AI68" i="1"/>
  <c r="AJ68" i="1"/>
  <c r="AG69" i="1"/>
  <c r="AH69" i="1"/>
  <c r="AI69" i="1"/>
  <c r="AJ69" i="1"/>
  <c r="C5" i="5"/>
  <c r="D5" i="5"/>
  <c r="E5" i="5"/>
  <c r="B5" i="5"/>
  <c r="C7" i="4"/>
  <c r="D7" i="4"/>
  <c r="E7" i="4"/>
  <c r="F7" i="4"/>
  <c r="G7" i="4"/>
  <c r="H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C8" i="4"/>
  <c r="D8" i="4"/>
  <c r="E8" i="4"/>
  <c r="F8" i="4"/>
  <c r="G8" i="4"/>
  <c r="H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D59" i="5"/>
  <c r="D58" i="5"/>
  <c r="D57" i="5"/>
  <c r="D56" i="5"/>
  <c r="B59" i="5"/>
  <c r="B58" i="5"/>
  <c r="B57" i="5"/>
  <c r="C59" i="5"/>
  <c r="C58" i="5"/>
  <c r="C57" i="5"/>
  <c r="C56" i="5"/>
  <c r="B56" i="5"/>
  <c r="D50" i="5"/>
  <c r="C50" i="5"/>
  <c r="B50" i="5"/>
  <c r="D51" i="5"/>
  <c r="C51" i="5"/>
  <c r="B52" i="5"/>
  <c r="B51" i="5"/>
  <c r="E11" i="5"/>
  <c r="D11" i="5"/>
  <c r="C11" i="5"/>
  <c r="B11" i="5"/>
  <c r="C38" i="5"/>
  <c r="D38" i="5"/>
  <c r="E38" i="5"/>
  <c r="B38" i="5"/>
  <c r="B12" i="5"/>
  <c r="C37" i="5"/>
  <c r="D37" i="5"/>
  <c r="E37" i="5"/>
  <c r="B37" i="5"/>
  <c r="B43" i="5"/>
  <c r="C45" i="5"/>
  <c r="D45" i="5"/>
  <c r="E45" i="5"/>
  <c r="B45" i="5"/>
  <c r="C44" i="5"/>
  <c r="D44" i="5"/>
  <c r="E44" i="5"/>
  <c r="B44" i="5"/>
  <c r="C43" i="5"/>
  <c r="D43" i="5"/>
  <c r="E43" i="5"/>
  <c r="C27" i="5"/>
  <c r="D27" i="5"/>
  <c r="E27" i="5"/>
  <c r="B27" i="5"/>
  <c r="B26" i="5"/>
  <c r="C26" i="5"/>
  <c r="D26" i="5"/>
  <c r="E26" i="5"/>
  <c r="B25" i="5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N6" i="4"/>
  <c r="M6" i="4"/>
  <c r="H6" i="4"/>
  <c r="G6" i="4"/>
  <c r="F6" i="4"/>
  <c r="E6" i="4"/>
  <c r="D6" i="4"/>
  <c r="C6" i="4"/>
  <c r="C3" i="4"/>
  <c r="C4" i="4"/>
  <c r="C5" i="4"/>
  <c r="B53" i="5" l="1"/>
  <c r="J8" i="4"/>
  <c r="I8" i="4"/>
  <c r="J7" i="4"/>
  <c r="I7" i="4"/>
  <c r="B60" i="5"/>
  <c r="D60" i="5"/>
  <c r="C60" i="5"/>
  <c r="I6" i="4"/>
  <c r="J6" i="4"/>
  <c r="M2" i="2"/>
  <c r="K7" i="4"/>
  <c r="L7" i="4" s="1"/>
  <c r="E34" i="5"/>
  <c r="B34" i="5"/>
  <c r="E28" i="5"/>
  <c r="C31" i="5"/>
  <c r="D31" i="5"/>
  <c r="E31" i="5"/>
  <c r="B31" i="5"/>
  <c r="B33" i="5"/>
  <c r="C33" i="5"/>
  <c r="D33" i="5"/>
  <c r="E33" i="5"/>
  <c r="B32" i="5"/>
  <c r="C32" i="5"/>
  <c r="D32" i="5"/>
  <c r="E32" i="5"/>
  <c r="C30" i="5"/>
  <c r="D30" i="5"/>
  <c r="E30" i="5"/>
  <c r="B30" i="5"/>
  <c r="C25" i="5"/>
  <c r="D25" i="5"/>
  <c r="E25" i="5"/>
  <c r="C12" i="5"/>
  <c r="D12" i="5"/>
  <c r="D13" i="5" s="1"/>
  <c r="E12" i="5"/>
  <c r="C3" i="5"/>
  <c r="D3" i="5"/>
  <c r="E3" i="5"/>
  <c r="B3" i="5"/>
  <c r="B13" i="5"/>
  <c r="C2" i="5"/>
  <c r="C4" i="5" s="1"/>
  <c r="D2" i="5"/>
  <c r="D4" i="5" s="1"/>
  <c r="E2" i="5"/>
  <c r="E4" i="5" s="1"/>
  <c r="B2" i="5"/>
  <c r="B4" i="5" s="1"/>
  <c r="AZ3" i="4"/>
  <c r="AZ4" i="4"/>
  <c r="AZ5" i="4"/>
  <c r="AY3" i="4"/>
  <c r="AY4" i="4"/>
  <c r="AY5" i="4"/>
  <c r="AX3" i="4"/>
  <c r="AX4" i="4"/>
  <c r="AX5" i="4"/>
  <c r="AW3" i="4"/>
  <c r="AW4" i="4"/>
  <c r="AW5" i="4"/>
  <c r="AV3" i="4"/>
  <c r="AV4" i="4"/>
  <c r="AV5" i="4"/>
  <c r="AU3" i="4"/>
  <c r="AU4" i="4"/>
  <c r="AU5" i="4"/>
  <c r="AT3" i="4"/>
  <c r="AT4" i="4"/>
  <c r="AT5" i="4"/>
  <c r="AS3" i="4"/>
  <c r="AS4" i="4"/>
  <c r="AS5" i="4"/>
  <c r="AR3" i="4"/>
  <c r="AR4" i="4"/>
  <c r="AR5" i="4"/>
  <c r="AQ3" i="4"/>
  <c r="AQ4" i="4"/>
  <c r="AQ5" i="4"/>
  <c r="AP3" i="4"/>
  <c r="AP4" i="4"/>
  <c r="AP5" i="4"/>
  <c r="AO3" i="4"/>
  <c r="AO4" i="4"/>
  <c r="AO5" i="4"/>
  <c r="AN3" i="4"/>
  <c r="AN4" i="4"/>
  <c r="AN5" i="4"/>
  <c r="AM3" i="4"/>
  <c r="AM4" i="4"/>
  <c r="AM5" i="4"/>
  <c r="AL3" i="4"/>
  <c r="AL4" i="4"/>
  <c r="AL5" i="4"/>
  <c r="AK3" i="4"/>
  <c r="AK4" i="4"/>
  <c r="AK5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G3" i="4"/>
  <c r="AG4" i="4"/>
  <c r="AG5" i="4"/>
  <c r="AG2" i="4"/>
  <c r="AF2" i="4"/>
  <c r="C2" i="4"/>
  <c r="AF3" i="4"/>
  <c r="AF4" i="4"/>
  <c r="AF5" i="4"/>
  <c r="D2" i="4"/>
  <c r="AE3" i="4"/>
  <c r="AE4" i="4"/>
  <c r="AE5" i="4"/>
  <c r="AD3" i="4"/>
  <c r="AD4" i="4"/>
  <c r="AD5" i="4"/>
  <c r="AC3" i="4"/>
  <c r="AC4" i="4"/>
  <c r="AC5" i="4"/>
  <c r="AE2" i="4"/>
  <c r="AD2" i="4"/>
  <c r="AC2" i="4"/>
  <c r="Z2" i="4"/>
  <c r="S2" i="4"/>
  <c r="AB3" i="4"/>
  <c r="AB4" i="4"/>
  <c r="AB5" i="4"/>
  <c r="AA3" i="4"/>
  <c r="AA4" i="4"/>
  <c r="AA5" i="4"/>
  <c r="Z3" i="4"/>
  <c r="Z4" i="4"/>
  <c r="Z5" i="4"/>
  <c r="AB2" i="4"/>
  <c r="AA2" i="4"/>
  <c r="W2" i="4"/>
  <c r="R2" i="4"/>
  <c r="Y3" i="4"/>
  <c r="Y4" i="4"/>
  <c r="Y5" i="4"/>
  <c r="X3" i="4"/>
  <c r="X4" i="4"/>
  <c r="X5" i="4"/>
  <c r="Y2" i="4"/>
  <c r="X2" i="4"/>
  <c r="W3" i="4"/>
  <c r="W4" i="4"/>
  <c r="W5" i="4"/>
  <c r="T2" i="4"/>
  <c r="Q2" i="4"/>
  <c r="V3" i="4"/>
  <c r="V4" i="4"/>
  <c r="V5" i="4"/>
  <c r="U3" i="4"/>
  <c r="U4" i="4"/>
  <c r="U5" i="4"/>
  <c r="V2" i="4"/>
  <c r="U2" i="4"/>
  <c r="T3" i="4"/>
  <c r="T4" i="4"/>
  <c r="T5" i="4"/>
  <c r="P2" i="4"/>
  <c r="S3" i="4"/>
  <c r="S4" i="4"/>
  <c r="S5" i="4"/>
  <c r="R3" i="4"/>
  <c r="R4" i="4"/>
  <c r="R5" i="4"/>
  <c r="Q3" i="4"/>
  <c r="Q4" i="4"/>
  <c r="Q5" i="4"/>
  <c r="P3" i="4"/>
  <c r="P4" i="4"/>
  <c r="P5" i="4"/>
  <c r="N3" i="4"/>
  <c r="N4" i="4"/>
  <c r="N5" i="4"/>
  <c r="N2" i="4"/>
  <c r="M2" i="4"/>
  <c r="M3" i="4"/>
  <c r="M4" i="4"/>
  <c r="M5" i="4"/>
  <c r="K4" i="4"/>
  <c r="K5" i="4"/>
  <c r="K2" i="4"/>
  <c r="H3" i="4"/>
  <c r="H4" i="4"/>
  <c r="H5" i="4"/>
  <c r="H2" i="4"/>
  <c r="G2" i="4"/>
  <c r="G3" i="4"/>
  <c r="G4" i="4"/>
  <c r="G5" i="4"/>
  <c r="F3" i="4"/>
  <c r="F4" i="4"/>
  <c r="F5" i="4"/>
  <c r="F2" i="4"/>
  <c r="E3" i="4"/>
  <c r="E4" i="4"/>
  <c r="E5" i="4"/>
  <c r="E2" i="4"/>
  <c r="D3" i="4"/>
  <c r="D4" i="4"/>
  <c r="D5" i="4"/>
  <c r="R3" i="3"/>
  <c r="R4" i="3"/>
  <c r="R5" i="3"/>
  <c r="R2" i="3"/>
  <c r="P3" i="3"/>
  <c r="P4" i="3"/>
  <c r="P5" i="3"/>
  <c r="P2" i="3"/>
  <c r="M4" i="3"/>
  <c r="M5" i="3"/>
  <c r="L3" i="3"/>
  <c r="L4" i="3"/>
  <c r="L5" i="3"/>
  <c r="L2" i="3"/>
  <c r="K3" i="3"/>
  <c r="K4" i="3"/>
  <c r="K5" i="3"/>
  <c r="K2" i="3"/>
  <c r="J2" i="3"/>
  <c r="J3" i="3"/>
  <c r="J4" i="3"/>
  <c r="J5" i="3"/>
  <c r="I3" i="3"/>
  <c r="I4" i="3"/>
  <c r="I5" i="3"/>
  <c r="I2" i="3"/>
  <c r="H2" i="3"/>
  <c r="H3" i="3"/>
  <c r="H4" i="3"/>
  <c r="H5" i="3"/>
  <c r="G3" i="3"/>
  <c r="G4" i="3"/>
  <c r="G5" i="3"/>
  <c r="G2" i="3"/>
  <c r="F2" i="3"/>
  <c r="F3" i="3"/>
  <c r="F4" i="3"/>
  <c r="F5" i="3"/>
  <c r="D3" i="3"/>
  <c r="D4" i="3"/>
  <c r="D5" i="3"/>
  <c r="D2" i="3"/>
  <c r="C3" i="3"/>
  <c r="C4" i="3"/>
  <c r="C5" i="3"/>
  <c r="C2" i="3"/>
  <c r="K8" i="4" l="1"/>
  <c r="L8" i="4" s="1"/>
  <c r="D34" i="5"/>
  <c r="C34" i="5"/>
  <c r="AH8" i="4"/>
  <c r="AH7" i="4"/>
  <c r="D23" i="5"/>
  <c r="E29" i="5"/>
  <c r="E35" i="5" s="1"/>
  <c r="B22" i="5"/>
  <c r="C52" i="5"/>
  <c r="C53" i="5" s="1"/>
  <c r="C54" i="5"/>
  <c r="C55" i="5" s="1"/>
  <c r="B54" i="5"/>
  <c r="B55" i="5" s="1"/>
  <c r="D52" i="5"/>
  <c r="D53" i="5" s="1"/>
  <c r="D54" i="5"/>
  <c r="D55" i="5" s="1"/>
  <c r="O2" i="3"/>
  <c r="O5" i="3"/>
  <c r="O4" i="3"/>
  <c r="O3" i="3"/>
  <c r="K6" i="4"/>
  <c r="L6" i="4" s="1"/>
  <c r="D29" i="5"/>
  <c r="D35" i="5" s="1"/>
  <c r="J4" i="4"/>
  <c r="C29" i="5"/>
  <c r="AH6" i="4"/>
  <c r="J3" i="4"/>
  <c r="E5" i="3"/>
  <c r="M3" i="3"/>
  <c r="N3" i="3" s="1"/>
  <c r="Q2" i="3"/>
  <c r="Q5" i="3"/>
  <c r="Q3" i="3"/>
  <c r="C13" i="5"/>
  <c r="E13" i="5"/>
  <c r="S4" i="3"/>
  <c r="E2" i="3"/>
  <c r="J5" i="4"/>
  <c r="E4" i="3"/>
  <c r="S2" i="3"/>
  <c r="I5" i="4"/>
  <c r="I4" i="4"/>
  <c r="I3" i="4"/>
  <c r="S3" i="3"/>
  <c r="E3" i="3"/>
  <c r="S5" i="3"/>
  <c r="N5" i="3"/>
  <c r="I2" i="4"/>
  <c r="Q4" i="3"/>
  <c r="L5" i="4"/>
  <c r="L4" i="4"/>
  <c r="N4" i="3"/>
  <c r="B23" i="5"/>
  <c r="L2" i="4"/>
  <c r="E23" i="5"/>
  <c r="C23" i="5"/>
  <c r="E22" i="5"/>
  <c r="D22" i="5"/>
  <c r="C22" i="5"/>
  <c r="J2" i="4"/>
  <c r="C35" i="5" l="1"/>
  <c r="E53" i="5"/>
  <c r="B24" i="5"/>
  <c r="D24" i="5"/>
  <c r="C24" i="5"/>
  <c r="E24" i="5"/>
  <c r="U2" i="2" l="1"/>
  <c r="D2" i="2"/>
  <c r="C2" i="2"/>
  <c r="BS2" i="2"/>
  <c r="BR2" i="2"/>
  <c r="BQ2" i="2"/>
  <c r="BP2" i="2"/>
  <c r="BO2" i="2"/>
  <c r="BN2" i="2"/>
  <c r="BM2" i="2"/>
  <c r="BK2" i="2"/>
  <c r="BJ2" i="2"/>
  <c r="BI2" i="2"/>
  <c r="BH2" i="2"/>
  <c r="BG2" i="2"/>
  <c r="BF2" i="2"/>
  <c r="BE2" i="2"/>
  <c r="BD2" i="2"/>
  <c r="BA2" i="2"/>
  <c r="AZ2" i="2"/>
  <c r="AY2" i="2"/>
  <c r="AO2" i="2"/>
  <c r="AX2" i="2"/>
  <c r="AW2" i="2"/>
  <c r="AV2" i="2"/>
  <c r="AN2" i="2"/>
  <c r="AU2" i="2"/>
  <c r="AT2" i="2"/>
  <c r="AS2" i="2"/>
  <c r="AM2" i="2"/>
  <c r="AR2" i="2"/>
  <c r="AQ2" i="2"/>
  <c r="AP2" i="2"/>
  <c r="AL2" i="2"/>
  <c r="E2" i="2" l="1"/>
  <c r="AI2" i="2"/>
  <c r="AH2" i="2"/>
  <c r="AE2" i="2"/>
  <c r="AD2" i="2"/>
  <c r="AG2" i="2"/>
  <c r="AB2" i="2"/>
  <c r="T2" i="2"/>
  <c r="S2" i="2"/>
  <c r="R2" i="2"/>
  <c r="O2" i="2"/>
  <c r="Q2" i="2"/>
  <c r="I2" i="2"/>
  <c r="P2" i="2"/>
  <c r="N2" i="2"/>
  <c r="J2" i="2"/>
  <c r="H2" i="2"/>
  <c r="G2" i="2"/>
  <c r="F2" i="2"/>
  <c r="M2" i="3"/>
  <c r="Z2" i="2"/>
  <c r="K3" i="4"/>
  <c r="L3" i="4" s="1"/>
  <c r="C39" i="5" l="1"/>
  <c r="D39" i="5"/>
  <c r="E39" i="5"/>
  <c r="B39" i="5"/>
  <c r="B14" i="5"/>
  <c r="N2" i="3"/>
  <c r="W2" i="2"/>
  <c r="V2" i="2"/>
  <c r="K2" i="2"/>
  <c r="B29" i="5"/>
  <c r="B35" i="5" s="1"/>
  <c r="AH3" i="4"/>
  <c r="AH4" i="4"/>
  <c r="C14" i="5"/>
  <c r="AH5" i="4"/>
  <c r="D14" i="5"/>
  <c r="AH2" i="4"/>
  <c r="E14" i="5"/>
  <c r="Y2" i="2"/>
  <c r="AA2" i="2"/>
  <c r="AC2" i="2"/>
</calcChain>
</file>

<file path=xl/sharedStrings.xml><?xml version="1.0" encoding="utf-8"?>
<sst xmlns="http://schemas.openxmlformats.org/spreadsheetml/2006/main" count="1227" uniqueCount="218">
  <si>
    <t>Week</t>
  </si>
  <si>
    <t>Opponent</t>
  </si>
  <si>
    <t>SideOfField</t>
  </si>
  <si>
    <t>YardLine</t>
  </si>
  <si>
    <t>Down</t>
  </si>
  <si>
    <t>YardsToGo</t>
  </si>
  <si>
    <t>QTR</t>
  </si>
  <si>
    <t>JCU</t>
  </si>
  <si>
    <t>PlayType</t>
  </si>
  <si>
    <t>Pass Attempt</t>
  </si>
  <si>
    <t>MenInBox</t>
  </si>
  <si>
    <t>CatchSnap</t>
  </si>
  <si>
    <t>ReleaseThrow</t>
  </si>
  <si>
    <t>TimeToThrow</t>
  </si>
  <si>
    <t>TimeReceiveBall</t>
  </si>
  <si>
    <t>TimeFirstTouch</t>
  </si>
  <si>
    <t>TimeBeforeContact</t>
  </si>
  <si>
    <t>PlaySide</t>
  </si>
  <si>
    <t>QB</t>
  </si>
  <si>
    <t>BallCarrier</t>
  </si>
  <si>
    <t>YardsGained</t>
  </si>
  <si>
    <t>ThrowResult</t>
  </si>
  <si>
    <t>ThrowType</t>
  </si>
  <si>
    <t>DepthofTarg</t>
  </si>
  <si>
    <t>Misc</t>
  </si>
  <si>
    <t>Receiver</t>
  </si>
  <si>
    <t>PenaltyType</t>
  </si>
  <si>
    <t>Convert</t>
  </si>
  <si>
    <t>TD</t>
  </si>
  <si>
    <t>YardsBeforeContact</t>
  </si>
  <si>
    <t>BTK</t>
  </si>
  <si>
    <t>YardsAfterCatch</t>
  </si>
  <si>
    <t>QBNum</t>
  </si>
  <si>
    <t>INT</t>
  </si>
  <si>
    <t>Yards</t>
  </si>
  <si>
    <t>Cmp</t>
  </si>
  <si>
    <t>Att</t>
  </si>
  <si>
    <t>Errant</t>
  </si>
  <si>
    <t>OverThrown</t>
  </si>
  <si>
    <t>UnderThrown</t>
  </si>
  <si>
    <t>TurnWorthy</t>
  </si>
  <si>
    <t>OnTarg</t>
  </si>
  <si>
    <t>Drop</t>
  </si>
  <si>
    <t>BattedPass(By:DLINE)</t>
  </si>
  <si>
    <t>ThrowAways</t>
  </si>
  <si>
    <t>Spikes</t>
  </si>
  <si>
    <t>DOT</t>
  </si>
  <si>
    <t>ADOT</t>
  </si>
  <si>
    <t>Adj.Comp</t>
  </si>
  <si>
    <t>AvgTimeOnSacks</t>
  </si>
  <si>
    <t>Sacks</t>
  </si>
  <si>
    <t>YardsLost</t>
  </si>
  <si>
    <t>Scrambles</t>
  </si>
  <si>
    <t>Scramble Yards</t>
  </si>
  <si>
    <t>First Down Scrambles</t>
  </si>
  <si>
    <t>ThrowsTargetArea</t>
  </si>
  <si>
    <t>&lt;=0</t>
  </si>
  <si>
    <t>1 and 9</t>
  </si>
  <si>
    <t>10 and 20</t>
  </si>
  <si>
    <t>20+</t>
  </si>
  <si>
    <t>Left &lt;0</t>
  </si>
  <si>
    <t>Mid &lt;0</t>
  </si>
  <si>
    <t>Right&lt;0</t>
  </si>
  <si>
    <t>Left 1 and 9</t>
  </si>
  <si>
    <t>Mid 1 and 9</t>
  </si>
  <si>
    <t>Right 1 and 9</t>
  </si>
  <si>
    <t>Left 10 and 20</t>
  </si>
  <si>
    <t>Mid 10 and 20</t>
  </si>
  <si>
    <t>Right 10 and 20</t>
  </si>
  <si>
    <t>Left 20+</t>
  </si>
  <si>
    <t>Mid 20+</t>
  </si>
  <si>
    <t>Right 20+</t>
  </si>
  <si>
    <t>Cmps BY TargetArea</t>
  </si>
  <si>
    <t>Plays</t>
  </si>
  <si>
    <t>Floriea</t>
  </si>
  <si>
    <t>Name</t>
  </si>
  <si>
    <t>AVGTimeToThrow</t>
  </si>
  <si>
    <t>TOTTimeToThrow</t>
  </si>
  <si>
    <t>TOTTimeOnSacks</t>
  </si>
  <si>
    <t>NetYardsGained</t>
  </si>
  <si>
    <t>AvgCombined</t>
  </si>
  <si>
    <t>L</t>
  </si>
  <si>
    <t>Catch</t>
  </si>
  <si>
    <t>RunNum</t>
  </si>
  <si>
    <t>RunName</t>
  </si>
  <si>
    <t>YardsPerAtt</t>
  </si>
  <si>
    <t>Fumbles</t>
  </si>
  <si>
    <t>NegativeRuns</t>
  </si>
  <si>
    <t>Runs 10+</t>
  </si>
  <si>
    <t>TotalTimeBeforeContact</t>
  </si>
  <si>
    <t>AvgTimeBeforeContact</t>
  </si>
  <si>
    <t>YardsAfterContact</t>
  </si>
  <si>
    <t>TotalMenInBox</t>
  </si>
  <si>
    <t>AvgMenInBox</t>
  </si>
  <si>
    <t>RunsBtw0and4</t>
  </si>
  <si>
    <t>RunsBtw4and10</t>
  </si>
  <si>
    <t>RecNum</t>
  </si>
  <si>
    <t>Catches</t>
  </si>
  <si>
    <t>Drops</t>
  </si>
  <si>
    <t>RecYards</t>
  </si>
  <si>
    <t>DOTonCatch</t>
  </si>
  <si>
    <t>YAC</t>
  </si>
  <si>
    <t>AYAC</t>
  </si>
  <si>
    <t>Touchdowns</t>
  </si>
  <si>
    <t>Targets</t>
  </si>
  <si>
    <t>ThirdDownCatches</t>
  </si>
  <si>
    <t>ThirdDownTargets</t>
  </si>
  <si>
    <t>ADOC</t>
  </si>
  <si>
    <t>Targets-&gt;</t>
  </si>
  <si>
    <t>Catches-&gt;</t>
  </si>
  <si>
    <t>NumRuns</t>
  </si>
  <si>
    <t>NumPlays</t>
  </si>
  <si>
    <t>TotYards</t>
  </si>
  <si>
    <t>RunYards</t>
  </si>
  <si>
    <t>PassYards</t>
  </si>
  <si>
    <t>Rushing</t>
  </si>
  <si>
    <t>YardsPerRun</t>
  </si>
  <si>
    <t>Conversions</t>
  </si>
  <si>
    <t>Passing</t>
  </si>
  <si>
    <t>NumPassesCalled</t>
  </si>
  <si>
    <t>NetPassYards</t>
  </si>
  <si>
    <t>PassAttempts</t>
  </si>
  <si>
    <t>SackYardsLost</t>
  </si>
  <si>
    <t>QBScrambles</t>
  </si>
  <si>
    <t>QBScramYards</t>
  </si>
  <si>
    <t>NetYardsPerPassCalled</t>
  </si>
  <si>
    <t>PassAttConversions</t>
  </si>
  <si>
    <t>QBScramConversions</t>
  </si>
  <si>
    <t>3rd Down Efficiency</t>
  </si>
  <si>
    <t>1 and 3</t>
  </si>
  <si>
    <t>4 and 6</t>
  </si>
  <si>
    <t>7+</t>
  </si>
  <si>
    <t>JCUScore</t>
  </si>
  <si>
    <t>OppScore</t>
  </si>
  <si>
    <t>TimeLeft</t>
  </si>
  <si>
    <t>OffPersonnel</t>
  </si>
  <si>
    <t>Run</t>
  </si>
  <si>
    <t>M</t>
  </si>
  <si>
    <t>OPP</t>
  </si>
  <si>
    <t>R</t>
  </si>
  <si>
    <t>DriveStart</t>
  </si>
  <si>
    <t>QB Scramble</t>
  </si>
  <si>
    <t>Notes</t>
  </si>
  <si>
    <t>TotFirstDownConversions</t>
  </si>
  <si>
    <t>NetYardsPerPlay</t>
  </si>
  <si>
    <t>TotOffTarg</t>
  </si>
  <si>
    <t>Bad Snaps</t>
  </si>
  <si>
    <t>Number</t>
  </si>
  <si>
    <t>Yards Lost</t>
  </si>
  <si>
    <t>BLOS</t>
  </si>
  <si>
    <t>Left BLOS</t>
  </si>
  <si>
    <t>Mid BLOS</t>
  </si>
  <si>
    <t>RightBLOS</t>
  </si>
  <si>
    <t>Left Short</t>
  </si>
  <si>
    <t>Mid Short</t>
  </si>
  <si>
    <t>Right Short</t>
  </si>
  <si>
    <t>Left Med</t>
  </si>
  <si>
    <t>Mid Med</t>
  </si>
  <si>
    <t>Right Med</t>
  </si>
  <si>
    <t>Left Deep</t>
  </si>
  <si>
    <t>Mid Deep</t>
  </si>
  <si>
    <t>Right Deep</t>
  </si>
  <si>
    <t>Attempts</t>
  </si>
  <si>
    <t>Completions</t>
  </si>
  <si>
    <t>Goodwin</t>
  </si>
  <si>
    <t>AverageYardsBeforeContact</t>
  </si>
  <si>
    <t>Medium</t>
  </si>
  <si>
    <t>Short</t>
  </si>
  <si>
    <t>Deep</t>
  </si>
  <si>
    <t>Colmon</t>
  </si>
  <si>
    <t>Limerick</t>
  </si>
  <si>
    <t>Fugh</t>
  </si>
  <si>
    <t>Trudeau</t>
  </si>
  <si>
    <t>Right BLOS</t>
  </si>
  <si>
    <t>Left Medium</t>
  </si>
  <si>
    <t>Mid Medium</t>
  </si>
  <si>
    <t>Right Medium</t>
  </si>
  <si>
    <t>Fumbles Lost</t>
  </si>
  <si>
    <t>Penalties</t>
  </si>
  <si>
    <t>Yards Gained/Lost</t>
  </si>
  <si>
    <t>NumberWithPenalties</t>
  </si>
  <si>
    <t>Penalty Conversions</t>
  </si>
  <si>
    <t>Total</t>
  </si>
  <si>
    <t>Conv Perc</t>
  </si>
  <si>
    <t>Pass</t>
  </si>
  <si>
    <t>QB Scrambles</t>
  </si>
  <si>
    <t>Total Passes Called</t>
  </si>
  <si>
    <t>Buser</t>
  </si>
  <si>
    <t>Average Yards to Go</t>
  </si>
  <si>
    <t>Yards to Go</t>
  </si>
  <si>
    <t>Total Conversions</t>
  </si>
  <si>
    <t>Cross</t>
  </si>
  <si>
    <t>Marietta</t>
  </si>
  <si>
    <t>Incomplete</t>
  </si>
  <si>
    <t>Penalty</t>
  </si>
  <si>
    <t>O-False Start</t>
  </si>
  <si>
    <t>Sack</t>
  </si>
  <si>
    <t>ThrowAway</t>
  </si>
  <si>
    <t>Fumble</t>
  </si>
  <si>
    <t>EXCHANGE</t>
  </si>
  <si>
    <t>O-Holding</t>
  </si>
  <si>
    <t>D- Pass Int</t>
  </si>
  <si>
    <t>Mount</t>
  </si>
  <si>
    <t>Underthrown</t>
  </si>
  <si>
    <t>D-PI</t>
  </si>
  <si>
    <t>Batted</t>
  </si>
  <si>
    <t>D-Facemask</t>
  </si>
  <si>
    <t>None</t>
  </si>
  <si>
    <t>BaldwinWallace</t>
  </si>
  <si>
    <t>Run-BadSnap</t>
  </si>
  <si>
    <t>Offsides</t>
  </si>
  <si>
    <t>Fumble Lost</t>
  </si>
  <si>
    <t>Timeout</t>
  </si>
  <si>
    <t>Offensive Holding</t>
  </si>
  <si>
    <t>Kneel</t>
  </si>
  <si>
    <t>*82 in: Roster as WR; looks like a TE but went with WR</t>
  </si>
  <si>
    <t>GamePlayNum</t>
  </si>
  <si>
    <t>HudlPlayNum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</si>
</sst>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0" fillId="0" borderId="0" xfId="0" applyNumberFormat="1"/>
    <xf numFmtId="1" fontId="4" fillId="0" borderId="0" xfId="0" applyNumberFormat="1" applyFont="1"/>
    <xf numFmtId="1" fontId="0" fillId="0" borderId="0" xfId="0" applyNumberFormat="1"/>
    <xf numFmtId="2" fontId="3" fillId="0" borderId="0" xfId="0" applyNumberFormat="1" applyFont="1"/>
    <xf numFmtId="20" fontId="2" fillId="0" borderId="0" xfId="0" applyNumberFormat="1" applyFont="1"/>
    <xf numFmtId="0" fontId="0" fillId="0" borderId="0" xfId="0" applyFont="1"/>
    <xf numFmtId="2" fontId="0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Attempts by ADOT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PassingData!$A$2</c:f>
              <c:strCache>
                <c:ptCount val="1"/>
                <c:pt idx="0">
                  <c:v>Floriea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PassingData!$AL$1:$AO$1</c:f>
              <c:strCache>
                <c:ptCount val="4"/>
                <c:pt idx="0">
                  <c:v>BLOS</c:v>
                </c:pt>
                <c:pt idx="1">
                  <c:v>1 and 9</c:v>
                </c:pt>
                <c:pt idx="2">
                  <c:v>10 and 20</c:v>
                </c:pt>
                <c:pt idx="3">
                  <c:v>20+</c:v>
                </c:pt>
              </c:strCache>
            </c:strRef>
          </c:cat>
          <c:val>
            <c:numRef>
              <c:f>PassingData!$AL$2:$AO$2</c:f>
              <c:numCache>
                <c:formatCode>General</c:formatCode>
                <c:ptCount val="4"/>
                <c:pt idx="0">
                  <c:v>10</c:v>
                </c:pt>
                <c:pt idx="1">
                  <c:v>41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7-4B7D-B587-427495C8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103583"/>
        <c:axId val="1726102335"/>
      </c:barChart>
      <c:catAx>
        <c:axId val="17261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2335"/>
        <c:crosses val="autoZero"/>
        <c:auto val="1"/>
        <c:lblAlgn val="ctr"/>
        <c:lblOffset val="100"/>
        <c:noMultiLvlLbl val="0"/>
      </c:catAx>
      <c:valAx>
        <c:axId val="17261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Attempts by ADOT and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PassingData!$A$2</c:f>
              <c:strCache>
                <c:ptCount val="1"/>
                <c:pt idx="0">
                  <c:v>Floriea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PassingData!$AP$1:$BA$1</c:f>
              <c:strCache>
                <c:ptCount val="12"/>
                <c:pt idx="0">
                  <c:v>Left BLOS</c:v>
                </c:pt>
                <c:pt idx="1">
                  <c:v>Mid BLOS</c:v>
                </c:pt>
                <c:pt idx="2">
                  <c:v>RightBLOS</c:v>
                </c:pt>
                <c:pt idx="3">
                  <c:v>Left Short</c:v>
                </c:pt>
                <c:pt idx="4">
                  <c:v>Mid Short</c:v>
                </c:pt>
                <c:pt idx="5">
                  <c:v>Right Short</c:v>
                </c:pt>
                <c:pt idx="6">
                  <c:v>Left Med</c:v>
                </c:pt>
                <c:pt idx="7">
                  <c:v>Mid Med</c:v>
                </c:pt>
                <c:pt idx="8">
                  <c:v>Right Med</c:v>
                </c:pt>
                <c:pt idx="9">
                  <c:v>Left Deep</c:v>
                </c:pt>
                <c:pt idx="10">
                  <c:v>Mid Deep</c:v>
                </c:pt>
                <c:pt idx="11">
                  <c:v>Right Deep</c:v>
                </c:pt>
              </c:strCache>
            </c:strRef>
          </c:cat>
          <c:val>
            <c:numRef>
              <c:f>PassingData!$AP$2:$BA$2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4B6-95BD-73972161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103583"/>
        <c:axId val="1726102335"/>
      </c:barChart>
      <c:catAx>
        <c:axId val="172610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2335"/>
        <c:crosses val="autoZero"/>
        <c:auto val="1"/>
        <c:lblAlgn val="ctr"/>
        <c:lblOffset val="50"/>
        <c:noMultiLvlLbl val="0"/>
      </c:catAx>
      <c:valAx>
        <c:axId val="17261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Attempts Compared to Completions by ADOT and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PassingData!$AK$2</c:f>
              <c:strCache>
                <c:ptCount val="1"/>
                <c:pt idx="0">
                  <c:v>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PassingData!$AP$1:$BA$1</c:f>
              <c:strCache>
                <c:ptCount val="12"/>
                <c:pt idx="0">
                  <c:v>Left BLOS</c:v>
                </c:pt>
                <c:pt idx="1">
                  <c:v>Mid BLOS</c:v>
                </c:pt>
                <c:pt idx="2">
                  <c:v>RightBLOS</c:v>
                </c:pt>
                <c:pt idx="3">
                  <c:v>Left Short</c:v>
                </c:pt>
                <c:pt idx="4">
                  <c:v>Mid Short</c:v>
                </c:pt>
                <c:pt idx="5">
                  <c:v>Right Short</c:v>
                </c:pt>
                <c:pt idx="6">
                  <c:v>Left Med</c:v>
                </c:pt>
                <c:pt idx="7">
                  <c:v>Mid Med</c:v>
                </c:pt>
                <c:pt idx="8">
                  <c:v>Right Med</c:v>
                </c:pt>
                <c:pt idx="9">
                  <c:v>Left Deep</c:v>
                </c:pt>
                <c:pt idx="10">
                  <c:v>Mid Deep</c:v>
                </c:pt>
                <c:pt idx="11">
                  <c:v>Right Deep</c:v>
                </c:pt>
              </c:strCache>
            </c:strRef>
          </c:cat>
          <c:val>
            <c:numRef>
              <c:f>PassingData!$AP$2:$BA$2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B-49C4-98D7-F07B85910E63}"/>
            </c:ext>
          </c:extLst>
        </c:ser>
        <c:ser>
          <c:idx val="1"/>
          <c:order val="1"/>
          <c:tx>
            <c:strRef>
              <c:f>PassingData!$AK$3</c:f>
              <c:strCache>
                <c:ptCount val="1"/>
                <c:pt idx="0">
                  <c:v>Completions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PassingData!$AP$3:$BA$3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B-49C4-98D7-F07B8591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103583"/>
        <c:axId val="1726102335"/>
      </c:barChart>
      <c:catAx>
        <c:axId val="172610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2335"/>
        <c:crosses val="autoZero"/>
        <c:auto val="1"/>
        <c:lblAlgn val="ctr"/>
        <c:lblOffset val="50"/>
        <c:noMultiLvlLbl val="0"/>
      </c:catAx>
      <c:valAx>
        <c:axId val="17261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0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Targets by ADOT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ReceivingData!$P$1</c:f>
              <c:strCache>
                <c:ptCount val="1"/>
                <c:pt idx="0">
                  <c:v>BLOS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ReceivingData!$P$2:$P$6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0-46D8-BC41-E8FF91C9CCB0}"/>
            </c:ext>
          </c:extLst>
        </c:ser>
        <c:ser>
          <c:idx val="1"/>
          <c:order val="1"/>
          <c:tx>
            <c:strRef>
              <c:f>ReceivingData!$Q$1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ReceivingData!$Q$2:$Q$6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0-46D8-BC41-E8FF91C9CCB0}"/>
            </c:ext>
          </c:extLst>
        </c:ser>
        <c:ser>
          <c:idx val="2"/>
          <c:order val="2"/>
          <c:tx>
            <c:strRef>
              <c:f>ReceivingData!$R$1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ReceivingData!$R$2:$R$6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0-46D8-BC41-E8FF91C9CCB0}"/>
            </c:ext>
          </c:extLst>
        </c:ser>
        <c:ser>
          <c:idx val="3"/>
          <c:order val="3"/>
          <c:tx>
            <c:strRef>
              <c:f>ReceivingData!$S$1</c:f>
              <c:strCache>
                <c:ptCount val="1"/>
                <c:pt idx="0">
                  <c:v>Deep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ReceivingData!$S$2:$S$6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0-46D8-BC41-E8FF91C9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31551"/>
        <c:axId val="854733631"/>
      </c:barChart>
      <c:catAx>
        <c:axId val="854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3631"/>
        <c:crosses val="autoZero"/>
        <c:auto val="1"/>
        <c:lblAlgn val="ctr"/>
        <c:lblOffset val="100"/>
        <c:noMultiLvlLbl val="0"/>
      </c:catAx>
      <c:valAx>
        <c:axId val="854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400050</xdr:colOff>
      <xdr:row>8</xdr:row>
      <xdr:rowOff>99483</xdr:rowOff>
    </xdr:from>
    <xdr:to>
      <xdr:col>47</xdr:col>
      <xdr:colOff>69850</xdr:colOff>
      <xdr:row>23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F81E8-5761-4938-8754-CBF9E5EA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491065</xdr:colOff>
      <xdr:row>8</xdr:row>
      <xdr:rowOff>67734</xdr:rowOff>
    </xdr:from>
    <xdr:to>
      <xdr:col>54</xdr:col>
      <xdr:colOff>1058333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24ECE-93B7-46EB-A701-B08003DBC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10</xdr:row>
      <xdr:rowOff>0</xdr:rowOff>
    </xdr:from>
    <xdr:to>
      <xdr:col>67</xdr:col>
      <xdr:colOff>401744</xdr:colOff>
      <xdr:row>24</xdr:row>
      <xdr:rowOff>122344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759385-1E9B-481B-9C7F-A0D9FB20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10582</xdr:colOff>
      <xdr:row>10</xdr:row>
      <xdr:rowOff>179917</xdr:rowOff>
    </xdr:from>
    <xdr:to>
      <xdr:col>9</xdr:col>
      <xdr:colOff>23282</xdr:colOff>
      <xdr:row>26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E34ED-E79C-4BEB-A6DD-4710F9FD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4751-F4C0-442E-A997-7145C39C3521}">
  <dimension ref="A1:AK211"/>
  <sheetViews>
    <sheetView tabSelected="1" workbookViewId="0">
      <pane ySplit="1" topLeftCell="A2" activePane="bottomLeft" state="frozen"/>
      <selection activeCell="H1" sqref="H1"/>
      <selection pane="bottomLeft" activeCell="E10" sqref="E10"/>
    </sheetView>
  </sheetViews>
  <sheetFormatPr defaultRowHeight="14.35" x14ac:dyDescent="0.5"/>
  <cols>
    <col min="1" max="1" width="9.3515625" bestFit="1" customWidth="1"/>
    <col min="2" max="2" width="13.46875" bestFit="1" customWidth="1"/>
    <col min="3" max="3" width="13.46875" customWidth="1"/>
    <col min="4" max="7" width="9" customWidth="1"/>
    <col min="8" max="8" width="12.17578125" bestFit="1" customWidth="1"/>
    <col min="9" max="9" width="12.9375" bestFit="1" customWidth="1"/>
    <col min="10" max="10" width="10" bestFit="1" customWidth="1"/>
    <col min="11" max="11" width="7.8203125" bestFit="1" customWidth="1"/>
    <col min="12" max="12" width="5.5859375" bestFit="1" customWidth="1"/>
    <col min="13" max="13" width="9.52734375" bestFit="1" customWidth="1"/>
    <col min="14" max="14" width="10.8203125" bestFit="1" customWidth="1"/>
    <col min="15" max="15" width="11.17578125" bestFit="1" customWidth="1"/>
    <col min="16" max="16" width="9.234375" customWidth="1"/>
    <col min="17" max="17" width="11.41015625" bestFit="1" customWidth="1"/>
    <col min="18" max="18" width="9.17578125" bestFit="1" customWidth="1"/>
    <col min="19" max="19" width="11.87890625" bestFit="1" customWidth="1"/>
    <col min="20" max="20" width="11.87890625" customWidth="1"/>
    <col min="21" max="21" width="17" bestFit="1" customWidth="1"/>
    <col min="22" max="22" width="17" customWidth="1"/>
    <col min="23" max="23" width="13.703125" bestFit="1" customWidth="1"/>
    <col min="24" max="24" width="12.9375" bestFit="1" customWidth="1"/>
    <col min="25" max="25" width="14.17578125" bestFit="1" customWidth="1"/>
    <col min="26" max="26" width="16.46875" bestFit="1" customWidth="1"/>
    <col min="27" max="27" width="11" bestFit="1" customWidth="1"/>
    <col min="28" max="28" width="11" customWidth="1"/>
    <col min="29" max="29" width="11.05859375" bestFit="1" customWidth="1"/>
    <col min="30" max="30" width="10.64453125" bestFit="1" customWidth="1"/>
    <col min="31" max="31" width="10.9375" bestFit="1" customWidth="1"/>
    <col min="33" max="33" width="10.8203125" bestFit="1" customWidth="1"/>
    <col min="34" max="34" width="13.87890625" bestFit="1" customWidth="1"/>
    <col min="35" max="35" width="12" bestFit="1" customWidth="1"/>
    <col min="36" max="36" width="16.46875" bestFit="1" customWidth="1"/>
  </cols>
  <sheetData>
    <row r="1" spans="1:37" s="3" customFormat="1" x14ac:dyDescent="0.5">
      <c r="A1" s="2" t="s">
        <v>0</v>
      </c>
      <c r="B1" s="2" t="s">
        <v>1</v>
      </c>
      <c r="C1" s="2" t="s">
        <v>140</v>
      </c>
      <c r="D1" s="2" t="s">
        <v>132</v>
      </c>
      <c r="E1" s="2" t="s">
        <v>133</v>
      </c>
      <c r="F1" s="2" t="s">
        <v>6</v>
      </c>
      <c r="G1" s="2" t="s">
        <v>134</v>
      </c>
      <c r="H1" s="2" t="s">
        <v>217</v>
      </c>
      <c r="I1" s="2" t="s">
        <v>216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26</v>
      </c>
      <c r="O1" s="3" t="s">
        <v>8</v>
      </c>
      <c r="P1" s="3" t="s">
        <v>17</v>
      </c>
      <c r="Q1" s="3" t="s">
        <v>135</v>
      </c>
      <c r="R1" s="3" t="s">
        <v>10</v>
      </c>
      <c r="S1" s="3" t="s">
        <v>18</v>
      </c>
      <c r="T1" s="3" t="s">
        <v>19</v>
      </c>
      <c r="U1" s="3" t="s">
        <v>29</v>
      </c>
      <c r="V1" s="3" t="s">
        <v>30</v>
      </c>
      <c r="W1" s="3" t="s">
        <v>11</v>
      </c>
      <c r="X1" s="3" t="s">
        <v>12</v>
      </c>
      <c r="Y1" s="3" t="s">
        <v>14</v>
      </c>
      <c r="Z1" s="3" t="s">
        <v>15</v>
      </c>
      <c r="AA1" s="3" t="s">
        <v>20</v>
      </c>
      <c r="AB1" s="3" t="s">
        <v>24</v>
      </c>
      <c r="AC1" s="3" t="s">
        <v>21</v>
      </c>
      <c r="AD1" s="3" t="s">
        <v>22</v>
      </c>
      <c r="AE1" s="3" t="s">
        <v>23</v>
      </c>
      <c r="AF1" s="3" t="s">
        <v>25</v>
      </c>
      <c r="AG1" s="3" t="s">
        <v>27</v>
      </c>
      <c r="AH1" s="3" t="s">
        <v>31</v>
      </c>
      <c r="AI1" s="3" t="s">
        <v>13</v>
      </c>
      <c r="AJ1" s="3" t="s">
        <v>16</v>
      </c>
      <c r="AK1" s="3" t="s">
        <v>142</v>
      </c>
    </row>
    <row r="2" spans="1:37" x14ac:dyDescent="0.5">
      <c r="A2" s="1">
        <v>3</v>
      </c>
      <c r="B2" s="1" t="s">
        <v>192</v>
      </c>
      <c r="C2" s="1">
        <v>1</v>
      </c>
      <c r="D2" s="1">
        <v>0</v>
      </c>
      <c r="E2" s="1">
        <v>0</v>
      </c>
      <c r="F2" s="1">
        <v>1</v>
      </c>
      <c r="G2" s="13">
        <v>0.61944444444444446</v>
      </c>
      <c r="H2" s="1">
        <v>2</v>
      </c>
      <c r="I2" s="1">
        <v>1</v>
      </c>
      <c r="J2" s="1" t="s">
        <v>138</v>
      </c>
      <c r="K2" s="1">
        <v>24</v>
      </c>
      <c r="L2" s="1">
        <v>1</v>
      </c>
      <c r="M2" s="1">
        <v>10</v>
      </c>
      <c r="N2" s="1"/>
      <c r="O2" t="s">
        <v>136</v>
      </c>
      <c r="P2" t="s">
        <v>139</v>
      </c>
      <c r="Q2">
        <v>12</v>
      </c>
      <c r="R2">
        <v>8</v>
      </c>
      <c r="S2">
        <v>5</v>
      </c>
      <c r="T2">
        <v>33</v>
      </c>
      <c r="U2">
        <v>4</v>
      </c>
      <c r="V2">
        <v>1</v>
      </c>
      <c r="Y2">
        <v>9.6999999999999993</v>
      </c>
      <c r="Z2">
        <v>12.73</v>
      </c>
      <c r="AA2">
        <v>5</v>
      </c>
      <c r="AG2" t="str">
        <f>IF(OR(($M2-$AA2) &lt;=0,$AB2 = "TD"), "Y", "N")</f>
        <v>N</v>
      </c>
      <c r="AH2" t="str">
        <f>IF($AC2="Catch",$AA2-$AE2,"No Catch")</f>
        <v>No Catch</v>
      </c>
      <c r="AI2">
        <f>$X2-$W2</f>
        <v>0</v>
      </c>
      <c r="AJ2">
        <f>$Z2-$Y2</f>
        <v>3.0300000000000011</v>
      </c>
    </row>
    <row r="3" spans="1:37" x14ac:dyDescent="0.5">
      <c r="A3" s="1">
        <v>3</v>
      </c>
      <c r="B3" s="1" t="s">
        <v>192</v>
      </c>
      <c r="C3" s="1">
        <v>0</v>
      </c>
      <c r="D3" s="1">
        <v>0</v>
      </c>
      <c r="E3" s="1">
        <v>0</v>
      </c>
      <c r="F3" s="1">
        <v>1</v>
      </c>
      <c r="G3" s="13">
        <v>0.60763888888888895</v>
      </c>
      <c r="H3" s="1">
        <v>3</v>
      </c>
      <c r="I3" s="1">
        <v>2</v>
      </c>
      <c r="J3" s="1" t="s">
        <v>138</v>
      </c>
      <c r="K3" s="1">
        <v>19</v>
      </c>
      <c r="L3" s="1">
        <v>2</v>
      </c>
      <c r="M3" s="1">
        <v>5</v>
      </c>
      <c r="N3" s="1"/>
      <c r="O3" t="s">
        <v>136</v>
      </c>
      <c r="P3" t="s">
        <v>139</v>
      </c>
      <c r="Q3">
        <v>11</v>
      </c>
      <c r="R3">
        <v>7</v>
      </c>
      <c r="S3">
        <v>5</v>
      </c>
      <c r="T3">
        <v>5</v>
      </c>
      <c r="U3">
        <v>6</v>
      </c>
      <c r="Y3">
        <v>10.18</v>
      </c>
      <c r="Z3">
        <v>13.73</v>
      </c>
      <c r="AA3">
        <v>7</v>
      </c>
      <c r="AG3" t="str">
        <f t="shared" ref="AG3:AG66" si="0">IF(OR(($M3-$AA3) &lt;=0,$AB3 = "TD"), "Y", "N")</f>
        <v>Y</v>
      </c>
      <c r="AH3" t="str">
        <f t="shared" ref="AH3:AH66" si="1">IF($AC3="Catch",$AA3-$AE3,"No Catch")</f>
        <v>No Catch</v>
      </c>
      <c r="AI3">
        <f t="shared" ref="AI3:AI66" si="2">$X3-$W3</f>
        <v>0</v>
      </c>
      <c r="AJ3">
        <f t="shared" ref="AJ3:AJ66" si="3">$Z3-$Y3</f>
        <v>3.5500000000000007</v>
      </c>
    </row>
    <row r="4" spans="1:37" x14ac:dyDescent="0.5">
      <c r="A4" s="1">
        <v>3</v>
      </c>
      <c r="B4" s="1" t="s">
        <v>192</v>
      </c>
      <c r="C4" s="1">
        <v>0</v>
      </c>
      <c r="D4" s="1">
        <v>0</v>
      </c>
      <c r="E4" s="1">
        <v>0</v>
      </c>
      <c r="F4" s="1">
        <v>1</v>
      </c>
      <c r="G4" s="13">
        <v>0.58680555555555558</v>
      </c>
      <c r="H4" s="1">
        <v>4</v>
      </c>
      <c r="I4" s="1">
        <v>3</v>
      </c>
      <c r="J4" s="1" t="s">
        <v>138</v>
      </c>
      <c r="K4" s="1">
        <v>12</v>
      </c>
      <c r="L4" s="1">
        <v>1</v>
      </c>
      <c r="M4" s="1">
        <v>10</v>
      </c>
      <c r="N4" s="1"/>
      <c r="O4" t="s">
        <v>136</v>
      </c>
      <c r="P4" t="s">
        <v>137</v>
      </c>
      <c r="Q4">
        <v>11</v>
      </c>
      <c r="R4">
        <v>7</v>
      </c>
      <c r="S4">
        <v>5</v>
      </c>
      <c r="T4">
        <v>33</v>
      </c>
      <c r="U4">
        <v>-1</v>
      </c>
      <c r="Y4">
        <v>10.27</v>
      </c>
      <c r="Z4">
        <v>11.67</v>
      </c>
      <c r="AA4">
        <v>0</v>
      </c>
      <c r="AG4" t="str">
        <f t="shared" si="0"/>
        <v>N</v>
      </c>
      <c r="AH4" t="str">
        <f t="shared" si="1"/>
        <v>No Catch</v>
      </c>
      <c r="AI4">
        <f t="shared" si="2"/>
        <v>0</v>
      </c>
      <c r="AJ4">
        <f t="shared" si="3"/>
        <v>1.4000000000000004</v>
      </c>
    </row>
    <row r="5" spans="1:37" x14ac:dyDescent="0.5">
      <c r="A5" s="1">
        <v>3</v>
      </c>
      <c r="B5" s="1" t="s">
        <v>192</v>
      </c>
      <c r="C5" s="1">
        <v>0</v>
      </c>
      <c r="D5" s="1">
        <v>0</v>
      </c>
      <c r="E5" s="1">
        <v>0</v>
      </c>
      <c r="F5" s="1">
        <v>1</v>
      </c>
      <c r="G5" s="13">
        <v>0.56180555555555556</v>
      </c>
      <c r="H5" s="1">
        <v>5</v>
      </c>
      <c r="I5" s="1">
        <v>4</v>
      </c>
      <c r="J5" s="1" t="s">
        <v>138</v>
      </c>
      <c r="K5" s="1">
        <v>12</v>
      </c>
      <c r="L5" s="1">
        <v>2</v>
      </c>
      <c r="M5" s="1">
        <v>10</v>
      </c>
      <c r="N5" s="1"/>
      <c r="O5" s="1" t="s">
        <v>9</v>
      </c>
      <c r="P5" t="s">
        <v>139</v>
      </c>
      <c r="Q5">
        <v>11</v>
      </c>
      <c r="R5">
        <v>7</v>
      </c>
      <c r="S5">
        <v>5</v>
      </c>
      <c r="W5">
        <v>8.91</v>
      </c>
      <c r="X5">
        <v>10.36</v>
      </c>
      <c r="AA5">
        <v>12</v>
      </c>
      <c r="AB5" t="s">
        <v>28</v>
      </c>
      <c r="AC5" t="s">
        <v>82</v>
      </c>
      <c r="AD5" t="s">
        <v>41</v>
      </c>
      <c r="AE5">
        <v>12</v>
      </c>
      <c r="AF5">
        <v>82</v>
      </c>
      <c r="AG5" t="str">
        <f t="shared" si="0"/>
        <v>Y</v>
      </c>
      <c r="AH5">
        <f t="shared" si="1"/>
        <v>0</v>
      </c>
      <c r="AI5">
        <f t="shared" si="2"/>
        <v>1.4499999999999993</v>
      </c>
      <c r="AJ5">
        <f t="shared" si="3"/>
        <v>0</v>
      </c>
    </row>
    <row r="6" spans="1:37" x14ac:dyDescent="0.5">
      <c r="A6" s="1">
        <v>3</v>
      </c>
      <c r="B6" s="1" t="s">
        <v>192</v>
      </c>
      <c r="C6" s="1">
        <v>1</v>
      </c>
      <c r="D6" s="1">
        <v>7</v>
      </c>
      <c r="E6" s="1">
        <v>3</v>
      </c>
      <c r="F6" s="1">
        <v>1</v>
      </c>
      <c r="G6" s="13">
        <v>0.32222222222222224</v>
      </c>
      <c r="H6" s="1">
        <v>20</v>
      </c>
      <c r="I6" s="1">
        <v>5</v>
      </c>
      <c r="J6" s="1" t="s">
        <v>7</v>
      </c>
      <c r="K6" s="1">
        <v>30</v>
      </c>
      <c r="L6" s="1">
        <v>1</v>
      </c>
      <c r="M6" s="1">
        <v>10</v>
      </c>
      <c r="N6" s="1"/>
      <c r="O6" s="1" t="s">
        <v>9</v>
      </c>
      <c r="P6" t="s">
        <v>139</v>
      </c>
      <c r="Q6">
        <v>11</v>
      </c>
      <c r="R6">
        <v>7</v>
      </c>
      <c r="S6">
        <v>5</v>
      </c>
      <c r="W6">
        <v>11.48</v>
      </c>
      <c r="X6">
        <v>12.58</v>
      </c>
      <c r="AA6">
        <v>7</v>
      </c>
      <c r="AC6" t="s">
        <v>82</v>
      </c>
      <c r="AD6" t="s">
        <v>41</v>
      </c>
      <c r="AE6">
        <v>5</v>
      </c>
      <c r="AF6">
        <v>6</v>
      </c>
      <c r="AG6" t="str">
        <f t="shared" si="0"/>
        <v>N</v>
      </c>
      <c r="AH6">
        <f t="shared" si="1"/>
        <v>2</v>
      </c>
      <c r="AI6">
        <f t="shared" si="2"/>
        <v>1.0999999999999996</v>
      </c>
      <c r="AJ6">
        <f t="shared" si="3"/>
        <v>0</v>
      </c>
    </row>
    <row r="7" spans="1:37" x14ac:dyDescent="0.5">
      <c r="A7" s="1">
        <v>3</v>
      </c>
      <c r="B7" s="1" t="s">
        <v>192</v>
      </c>
      <c r="C7" s="1">
        <v>0</v>
      </c>
      <c r="D7" s="1">
        <v>7</v>
      </c>
      <c r="E7" s="1">
        <v>3</v>
      </c>
      <c r="F7" s="1">
        <v>1</v>
      </c>
      <c r="G7" s="13">
        <v>0.3125</v>
      </c>
      <c r="H7" s="1">
        <v>21</v>
      </c>
      <c r="I7" s="1">
        <v>6</v>
      </c>
      <c r="J7" s="1" t="s">
        <v>7</v>
      </c>
      <c r="K7" s="1">
        <v>37</v>
      </c>
      <c r="L7" s="1">
        <v>2</v>
      </c>
      <c r="M7" s="1">
        <v>3</v>
      </c>
      <c r="N7" s="1"/>
      <c r="O7" s="1" t="s">
        <v>136</v>
      </c>
      <c r="P7" t="s">
        <v>137</v>
      </c>
      <c r="Q7">
        <v>12</v>
      </c>
      <c r="R7">
        <v>8</v>
      </c>
      <c r="S7">
        <v>5</v>
      </c>
      <c r="T7">
        <v>1</v>
      </c>
      <c r="U7">
        <v>0</v>
      </c>
      <c r="Y7">
        <v>14.21</v>
      </c>
      <c r="Z7">
        <v>15.27</v>
      </c>
      <c r="AA7">
        <v>1</v>
      </c>
      <c r="AG7" t="str">
        <f t="shared" si="0"/>
        <v>N</v>
      </c>
      <c r="AH7" t="str">
        <f t="shared" si="1"/>
        <v>No Catch</v>
      </c>
      <c r="AI7">
        <f t="shared" si="2"/>
        <v>0</v>
      </c>
      <c r="AJ7">
        <f t="shared" si="3"/>
        <v>1.0599999999999987</v>
      </c>
    </row>
    <row r="8" spans="1:37" x14ac:dyDescent="0.5">
      <c r="A8" s="1">
        <v>3</v>
      </c>
      <c r="B8" s="1" t="s">
        <v>192</v>
      </c>
      <c r="C8" s="1">
        <v>0</v>
      </c>
      <c r="D8" s="1">
        <v>7</v>
      </c>
      <c r="E8" s="1">
        <v>3</v>
      </c>
      <c r="F8" s="1">
        <v>1</v>
      </c>
      <c r="G8" s="13">
        <v>0.28472222222222221</v>
      </c>
      <c r="H8" s="1">
        <v>22</v>
      </c>
      <c r="I8" s="1">
        <v>7</v>
      </c>
      <c r="J8" s="1" t="s">
        <v>7</v>
      </c>
      <c r="K8" s="1">
        <v>38</v>
      </c>
      <c r="L8" s="1">
        <v>3</v>
      </c>
      <c r="M8" s="1">
        <v>2</v>
      </c>
      <c r="N8" s="1"/>
      <c r="O8" s="1" t="s">
        <v>9</v>
      </c>
      <c r="P8" t="s">
        <v>139</v>
      </c>
      <c r="Q8">
        <v>11</v>
      </c>
      <c r="R8">
        <v>7</v>
      </c>
      <c r="S8">
        <v>5</v>
      </c>
      <c r="W8">
        <v>13.69</v>
      </c>
      <c r="X8">
        <v>16.350000000000001</v>
      </c>
      <c r="AA8">
        <v>3</v>
      </c>
      <c r="AC8" t="s">
        <v>82</v>
      </c>
      <c r="AD8" t="s">
        <v>41</v>
      </c>
      <c r="AE8">
        <v>3</v>
      </c>
      <c r="AF8">
        <v>84</v>
      </c>
      <c r="AG8" t="str">
        <f t="shared" si="0"/>
        <v>Y</v>
      </c>
      <c r="AH8">
        <f t="shared" si="1"/>
        <v>0</v>
      </c>
      <c r="AI8">
        <f t="shared" si="2"/>
        <v>2.6600000000000019</v>
      </c>
      <c r="AJ8">
        <f t="shared" si="3"/>
        <v>0</v>
      </c>
    </row>
    <row r="9" spans="1:37" x14ac:dyDescent="0.5">
      <c r="A9" s="1">
        <v>3</v>
      </c>
      <c r="B9" s="1" t="s">
        <v>192</v>
      </c>
      <c r="C9" s="1">
        <v>0</v>
      </c>
      <c r="D9" s="1">
        <v>7</v>
      </c>
      <c r="E9" s="1">
        <v>3</v>
      </c>
      <c r="F9" s="1">
        <v>1</v>
      </c>
      <c r="G9" s="13">
        <v>0.25486111111111109</v>
      </c>
      <c r="H9" s="1">
        <v>23</v>
      </c>
      <c r="I9" s="1">
        <v>8</v>
      </c>
      <c r="J9" s="1" t="s">
        <v>7</v>
      </c>
      <c r="K9" s="1">
        <v>41</v>
      </c>
      <c r="L9" s="1">
        <v>1</v>
      </c>
      <c r="M9" s="1">
        <v>10</v>
      </c>
      <c r="N9" s="1"/>
      <c r="O9" s="1" t="s">
        <v>136</v>
      </c>
      <c r="P9" t="s">
        <v>139</v>
      </c>
      <c r="Q9">
        <v>12</v>
      </c>
      <c r="R9">
        <v>7</v>
      </c>
      <c r="S9">
        <v>5</v>
      </c>
      <c r="T9">
        <v>1</v>
      </c>
      <c r="U9">
        <v>8</v>
      </c>
      <c r="Y9">
        <v>12.38</v>
      </c>
      <c r="Z9">
        <v>15.24</v>
      </c>
      <c r="AA9">
        <v>8</v>
      </c>
      <c r="AG9" t="str">
        <f t="shared" si="0"/>
        <v>N</v>
      </c>
      <c r="AH9" t="str">
        <f t="shared" si="1"/>
        <v>No Catch</v>
      </c>
      <c r="AI9">
        <f t="shared" si="2"/>
        <v>0</v>
      </c>
      <c r="AJ9">
        <f t="shared" si="3"/>
        <v>2.8599999999999994</v>
      </c>
    </row>
    <row r="10" spans="1:37" x14ac:dyDescent="0.5">
      <c r="A10" s="1">
        <v>3</v>
      </c>
      <c r="B10" s="1" t="s">
        <v>192</v>
      </c>
      <c r="C10" s="1">
        <v>0</v>
      </c>
      <c r="D10" s="1">
        <v>7</v>
      </c>
      <c r="E10" s="1">
        <v>3</v>
      </c>
      <c r="F10" s="1">
        <v>1</v>
      </c>
      <c r="G10" s="13">
        <v>0.2298611111111111</v>
      </c>
      <c r="H10" s="1">
        <v>24</v>
      </c>
      <c r="I10" s="1">
        <v>9</v>
      </c>
      <c r="J10" s="1" t="s">
        <v>7</v>
      </c>
      <c r="K10" s="1">
        <v>49</v>
      </c>
      <c r="L10" s="1">
        <v>2</v>
      </c>
      <c r="M10" s="1">
        <v>2</v>
      </c>
      <c r="N10" s="1"/>
      <c r="O10" s="1" t="s">
        <v>9</v>
      </c>
      <c r="P10" t="s">
        <v>81</v>
      </c>
      <c r="Q10">
        <v>11</v>
      </c>
      <c r="R10">
        <v>7</v>
      </c>
      <c r="S10">
        <v>5</v>
      </c>
      <c r="W10">
        <v>11.41</v>
      </c>
      <c r="X10">
        <v>12.43</v>
      </c>
      <c r="AA10">
        <v>9</v>
      </c>
      <c r="AC10" t="s">
        <v>82</v>
      </c>
      <c r="AD10" t="s">
        <v>41</v>
      </c>
      <c r="AE10">
        <v>9</v>
      </c>
      <c r="AF10">
        <v>6</v>
      </c>
      <c r="AG10" t="str">
        <f t="shared" si="0"/>
        <v>Y</v>
      </c>
      <c r="AH10">
        <f t="shared" si="1"/>
        <v>0</v>
      </c>
      <c r="AI10">
        <f t="shared" si="2"/>
        <v>1.0199999999999996</v>
      </c>
      <c r="AJ10">
        <f t="shared" si="3"/>
        <v>0</v>
      </c>
    </row>
    <row r="11" spans="1:37" x14ac:dyDescent="0.5">
      <c r="A11" s="1">
        <v>3</v>
      </c>
      <c r="B11" s="1" t="s">
        <v>192</v>
      </c>
      <c r="C11" s="1">
        <v>0</v>
      </c>
      <c r="D11" s="1">
        <v>7</v>
      </c>
      <c r="E11" s="1">
        <v>3</v>
      </c>
      <c r="F11" s="1">
        <v>1</v>
      </c>
      <c r="G11" s="13">
        <v>0.21180555555555555</v>
      </c>
      <c r="H11" s="1">
        <v>25</v>
      </c>
      <c r="I11" s="1">
        <v>10</v>
      </c>
      <c r="J11" s="1" t="s">
        <v>138</v>
      </c>
      <c r="K11" s="1">
        <v>42</v>
      </c>
      <c r="L11" s="1">
        <v>1</v>
      </c>
      <c r="M11" s="1">
        <v>10</v>
      </c>
      <c r="N11" s="1"/>
      <c r="O11" s="1" t="s">
        <v>136</v>
      </c>
      <c r="P11" t="s">
        <v>81</v>
      </c>
      <c r="Q11">
        <v>11</v>
      </c>
      <c r="R11">
        <v>7</v>
      </c>
      <c r="S11">
        <v>5</v>
      </c>
      <c r="T11">
        <v>1</v>
      </c>
      <c r="U11">
        <v>12</v>
      </c>
      <c r="Y11">
        <v>0.22</v>
      </c>
      <c r="Z11">
        <v>4.0999999999999996</v>
      </c>
      <c r="AA11">
        <v>12</v>
      </c>
      <c r="AG11" t="str">
        <f t="shared" si="0"/>
        <v>Y</v>
      </c>
      <c r="AH11" t="str">
        <f t="shared" si="1"/>
        <v>No Catch</v>
      </c>
      <c r="AI11">
        <f t="shared" si="2"/>
        <v>0</v>
      </c>
      <c r="AJ11">
        <f t="shared" si="3"/>
        <v>3.8799999999999994</v>
      </c>
    </row>
    <row r="12" spans="1:37" x14ac:dyDescent="0.5">
      <c r="A12" s="1">
        <v>3</v>
      </c>
      <c r="B12" s="1" t="s">
        <v>192</v>
      </c>
      <c r="C12" s="1">
        <v>0</v>
      </c>
      <c r="D12" s="1">
        <v>7</v>
      </c>
      <c r="E12" s="1">
        <v>3</v>
      </c>
      <c r="F12" s="1">
        <v>1</v>
      </c>
      <c r="G12" s="13">
        <v>0.20555555555555557</v>
      </c>
      <c r="H12" s="1">
        <v>27</v>
      </c>
      <c r="I12" s="1">
        <v>11</v>
      </c>
      <c r="J12" s="1" t="s">
        <v>138</v>
      </c>
      <c r="K12" s="1">
        <v>30</v>
      </c>
      <c r="L12" s="1">
        <v>1</v>
      </c>
      <c r="M12" s="1">
        <v>10</v>
      </c>
      <c r="N12" s="1"/>
      <c r="O12" s="1" t="s">
        <v>136</v>
      </c>
      <c r="P12" t="s">
        <v>81</v>
      </c>
      <c r="Q12">
        <v>12</v>
      </c>
      <c r="R12">
        <v>8</v>
      </c>
      <c r="S12">
        <v>5</v>
      </c>
      <c r="T12">
        <v>1</v>
      </c>
      <c r="U12">
        <v>-1</v>
      </c>
      <c r="Y12">
        <v>14.2</v>
      </c>
      <c r="Z12">
        <v>16.11</v>
      </c>
      <c r="AA12">
        <v>0</v>
      </c>
      <c r="AG12" t="str">
        <f t="shared" si="0"/>
        <v>N</v>
      </c>
      <c r="AH12" t="str">
        <f t="shared" si="1"/>
        <v>No Catch</v>
      </c>
      <c r="AI12">
        <f t="shared" si="2"/>
        <v>0</v>
      </c>
      <c r="AJ12">
        <f t="shared" si="3"/>
        <v>1.9100000000000001</v>
      </c>
    </row>
    <row r="13" spans="1:37" x14ac:dyDescent="0.5">
      <c r="A13" s="1">
        <v>3</v>
      </c>
      <c r="B13" s="1" t="s">
        <v>192</v>
      </c>
      <c r="C13" s="1">
        <v>0</v>
      </c>
      <c r="D13" s="1">
        <v>7</v>
      </c>
      <c r="E13" s="1">
        <v>3</v>
      </c>
      <c r="F13" s="1">
        <v>1</v>
      </c>
      <c r="G13" s="13">
        <v>0.18472222222222223</v>
      </c>
      <c r="H13" s="1">
        <v>28</v>
      </c>
      <c r="I13" s="1">
        <v>12</v>
      </c>
      <c r="J13" s="1" t="s">
        <v>138</v>
      </c>
      <c r="K13" s="1">
        <v>30</v>
      </c>
      <c r="L13" s="1">
        <v>2</v>
      </c>
      <c r="M13" s="1">
        <v>10</v>
      </c>
      <c r="N13" s="1"/>
      <c r="O13" s="1" t="s">
        <v>141</v>
      </c>
      <c r="Q13">
        <v>11</v>
      </c>
      <c r="R13">
        <v>8</v>
      </c>
      <c r="S13">
        <v>5</v>
      </c>
      <c r="AA13">
        <v>10</v>
      </c>
      <c r="AG13" t="str">
        <f t="shared" si="0"/>
        <v>Y</v>
      </c>
      <c r="AH13" t="str">
        <f t="shared" si="1"/>
        <v>No Catch</v>
      </c>
      <c r="AI13">
        <f t="shared" si="2"/>
        <v>0</v>
      </c>
      <c r="AJ13">
        <f t="shared" si="3"/>
        <v>0</v>
      </c>
    </row>
    <row r="14" spans="1:37" x14ac:dyDescent="0.5">
      <c r="A14" s="1">
        <v>3</v>
      </c>
      <c r="B14" s="1" t="s">
        <v>192</v>
      </c>
      <c r="C14" s="1">
        <v>0</v>
      </c>
      <c r="D14" s="1">
        <v>7</v>
      </c>
      <c r="E14" s="1">
        <v>3</v>
      </c>
      <c r="F14" s="1">
        <v>1</v>
      </c>
      <c r="G14" s="13">
        <v>0.15972222222222224</v>
      </c>
      <c r="H14" s="1">
        <v>29</v>
      </c>
      <c r="I14" s="1">
        <v>13</v>
      </c>
      <c r="J14" s="1" t="s">
        <v>138</v>
      </c>
      <c r="K14" s="1">
        <v>20</v>
      </c>
      <c r="L14" s="1">
        <v>1</v>
      </c>
      <c r="M14" s="1">
        <v>10</v>
      </c>
      <c r="N14" s="1"/>
      <c r="O14" s="1" t="s">
        <v>9</v>
      </c>
      <c r="P14" t="s">
        <v>81</v>
      </c>
      <c r="Q14">
        <v>11</v>
      </c>
      <c r="R14">
        <v>7</v>
      </c>
      <c r="S14">
        <v>5</v>
      </c>
      <c r="W14">
        <v>7.55</v>
      </c>
      <c r="X14">
        <v>8.6199999999999992</v>
      </c>
      <c r="AA14">
        <v>6</v>
      </c>
      <c r="AC14" t="s">
        <v>82</v>
      </c>
      <c r="AD14" t="s">
        <v>41</v>
      </c>
      <c r="AE14">
        <v>0</v>
      </c>
      <c r="AF14">
        <v>14</v>
      </c>
      <c r="AG14" t="str">
        <f t="shared" si="0"/>
        <v>N</v>
      </c>
      <c r="AH14">
        <f t="shared" si="1"/>
        <v>6</v>
      </c>
      <c r="AI14">
        <f t="shared" si="2"/>
        <v>1.0699999999999994</v>
      </c>
      <c r="AJ14">
        <f t="shared" si="3"/>
        <v>0</v>
      </c>
    </row>
    <row r="15" spans="1:37" x14ac:dyDescent="0.5">
      <c r="A15" s="1">
        <v>3</v>
      </c>
      <c r="B15" s="1" t="s">
        <v>192</v>
      </c>
      <c r="C15" s="1">
        <v>0</v>
      </c>
      <c r="D15" s="1">
        <v>7</v>
      </c>
      <c r="E15" s="1">
        <v>3</v>
      </c>
      <c r="F15" s="1">
        <v>1</v>
      </c>
      <c r="G15" s="13">
        <v>0.13819444444444443</v>
      </c>
      <c r="H15" s="1">
        <v>30</v>
      </c>
      <c r="I15" s="1">
        <v>14</v>
      </c>
      <c r="J15" s="1" t="s">
        <v>138</v>
      </c>
      <c r="K15" s="1">
        <v>14</v>
      </c>
      <c r="L15" s="1">
        <v>2</v>
      </c>
      <c r="M15" s="1">
        <v>4</v>
      </c>
      <c r="N15" s="1"/>
      <c r="O15" s="1" t="s">
        <v>9</v>
      </c>
      <c r="P15" s="1" t="s">
        <v>139</v>
      </c>
      <c r="Q15">
        <v>11</v>
      </c>
      <c r="R15">
        <v>7</v>
      </c>
      <c r="S15">
        <v>5</v>
      </c>
      <c r="W15">
        <v>8.57</v>
      </c>
      <c r="X15">
        <v>10.32</v>
      </c>
      <c r="AA15">
        <v>14</v>
      </c>
      <c r="AB15" t="s">
        <v>28</v>
      </c>
      <c r="AC15" t="s">
        <v>82</v>
      </c>
      <c r="AD15" t="s">
        <v>41</v>
      </c>
      <c r="AE15">
        <v>14</v>
      </c>
      <c r="AF15">
        <v>6</v>
      </c>
      <c r="AG15" t="str">
        <f t="shared" si="0"/>
        <v>Y</v>
      </c>
      <c r="AH15">
        <f t="shared" si="1"/>
        <v>0</v>
      </c>
      <c r="AI15">
        <f t="shared" si="2"/>
        <v>1.75</v>
      </c>
      <c r="AJ15">
        <f t="shared" si="3"/>
        <v>0</v>
      </c>
    </row>
    <row r="16" spans="1:37" x14ac:dyDescent="0.5">
      <c r="A16" s="1">
        <v>3</v>
      </c>
      <c r="B16" s="1" t="s">
        <v>192</v>
      </c>
      <c r="C16" s="1">
        <v>1</v>
      </c>
      <c r="D16" s="1">
        <v>13</v>
      </c>
      <c r="E16" s="1">
        <v>3</v>
      </c>
      <c r="F16" s="1">
        <v>1</v>
      </c>
      <c r="G16" s="13">
        <v>2.013888888888889E-2</v>
      </c>
      <c r="H16" s="1">
        <v>38</v>
      </c>
      <c r="I16" s="1">
        <v>15</v>
      </c>
      <c r="J16" s="1" t="s">
        <v>7</v>
      </c>
      <c r="K16" s="1">
        <v>40</v>
      </c>
      <c r="L16" s="1">
        <v>1</v>
      </c>
      <c r="M16" s="1">
        <v>10</v>
      </c>
      <c r="N16" s="1"/>
      <c r="O16" s="1" t="s">
        <v>9</v>
      </c>
      <c r="P16" s="1" t="s">
        <v>137</v>
      </c>
      <c r="Q16">
        <v>11</v>
      </c>
      <c r="R16">
        <v>7</v>
      </c>
      <c r="S16">
        <v>5</v>
      </c>
      <c r="W16">
        <v>11.96</v>
      </c>
      <c r="X16">
        <v>14.85</v>
      </c>
      <c r="AA16">
        <v>17</v>
      </c>
      <c r="AC16" t="s">
        <v>82</v>
      </c>
      <c r="AD16" t="s">
        <v>41</v>
      </c>
      <c r="AE16">
        <v>15</v>
      </c>
      <c r="AF16">
        <v>6</v>
      </c>
      <c r="AG16" t="str">
        <f t="shared" si="0"/>
        <v>Y</v>
      </c>
      <c r="AH16">
        <f t="shared" si="1"/>
        <v>2</v>
      </c>
      <c r="AI16">
        <f t="shared" si="2"/>
        <v>2.8899999999999988</v>
      </c>
      <c r="AJ16">
        <f t="shared" si="3"/>
        <v>0</v>
      </c>
    </row>
    <row r="17" spans="1:36" x14ac:dyDescent="0.5">
      <c r="A17" s="1">
        <v>3</v>
      </c>
      <c r="B17" s="1" t="s">
        <v>192</v>
      </c>
      <c r="C17" s="1">
        <v>0</v>
      </c>
      <c r="D17" s="1">
        <v>13</v>
      </c>
      <c r="E17" s="1">
        <v>3</v>
      </c>
      <c r="F17" s="1">
        <v>1</v>
      </c>
      <c r="G17" s="13">
        <v>1.1805555555555555E-2</v>
      </c>
      <c r="H17" s="1">
        <v>39</v>
      </c>
      <c r="I17" s="1">
        <v>16</v>
      </c>
      <c r="J17" s="1" t="s">
        <v>138</v>
      </c>
      <c r="K17" s="1">
        <v>43</v>
      </c>
      <c r="L17" s="1">
        <v>1</v>
      </c>
      <c r="M17" s="1">
        <v>10</v>
      </c>
      <c r="N17" s="1"/>
      <c r="O17" s="1" t="s">
        <v>136</v>
      </c>
      <c r="P17" s="1" t="s">
        <v>81</v>
      </c>
      <c r="Q17">
        <v>11</v>
      </c>
      <c r="R17">
        <v>7</v>
      </c>
      <c r="S17">
        <v>5</v>
      </c>
      <c r="T17">
        <v>33</v>
      </c>
      <c r="U17">
        <v>9</v>
      </c>
      <c r="Y17">
        <v>4.8899999999999997</v>
      </c>
      <c r="Z17">
        <v>8.02</v>
      </c>
      <c r="AA17">
        <v>10</v>
      </c>
      <c r="AG17" t="str">
        <f t="shared" si="0"/>
        <v>Y</v>
      </c>
      <c r="AH17" t="str">
        <f t="shared" si="1"/>
        <v>No Catch</v>
      </c>
      <c r="AI17">
        <f t="shared" si="2"/>
        <v>0</v>
      </c>
      <c r="AJ17">
        <f t="shared" si="3"/>
        <v>3.13</v>
      </c>
    </row>
    <row r="18" spans="1:36" x14ac:dyDescent="0.5">
      <c r="A18" s="1">
        <v>3</v>
      </c>
      <c r="B18" s="1" t="s">
        <v>192</v>
      </c>
      <c r="C18" s="1">
        <v>0</v>
      </c>
      <c r="D18" s="1">
        <v>13</v>
      </c>
      <c r="E18" s="1">
        <v>3</v>
      </c>
      <c r="F18" s="1">
        <v>2</v>
      </c>
      <c r="G18" s="13">
        <v>0.625</v>
      </c>
      <c r="H18" s="1">
        <v>40</v>
      </c>
      <c r="I18" s="1">
        <v>17</v>
      </c>
      <c r="J18" s="1" t="s">
        <v>138</v>
      </c>
      <c r="K18" s="1">
        <v>33</v>
      </c>
      <c r="L18" s="1">
        <v>1</v>
      </c>
      <c r="M18" s="1">
        <v>10</v>
      </c>
      <c r="N18" s="1"/>
      <c r="O18" s="1" t="s">
        <v>136</v>
      </c>
      <c r="P18" s="1" t="s">
        <v>137</v>
      </c>
      <c r="Q18">
        <v>11</v>
      </c>
      <c r="R18">
        <v>7</v>
      </c>
      <c r="S18">
        <v>5</v>
      </c>
      <c r="T18">
        <v>33</v>
      </c>
      <c r="U18">
        <v>-3</v>
      </c>
      <c r="Y18">
        <v>14.82</v>
      </c>
      <c r="Z18">
        <v>15.42</v>
      </c>
      <c r="AA18">
        <v>4</v>
      </c>
      <c r="AG18" t="str">
        <f t="shared" si="0"/>
        <v>N</v>
      </c>
      <c r="AH18" t="str">
        <f t="shared" si="1"/>
        <v>No Catch</v>
      </c>
      <c r="AI18">
        <f t="shared" si="2"/>
        <v>0</v>
      </c>
      <c r="AJ18">
        <f t="shared" si="3"/>
        <v>0.59999999999999964</v>
      </c>
    </row>
    <row r="19" spans="1:36" x14ac:dyDescent="0.5">
      <c r="A19" s="1">
        <v>3</v>
      </c>
      <c r="B19" s="1" t="s">
        <v>192</v>
      </c>
      <c r="C19" s="1">
        <v>0</v>
      </c>
      <c r="D19" s="1">
        <v>13</v>
      </c>
      <c r="E19" s="1">
        <v>3</v>
      </c>
      <c r="F19" s="1">
        <v>2</v>
      </c>
      <c r="G19" s="13">
        <v>0.61527777777777781</v>
      </c>
      <c r="H19" s="1">
        <v>41</v>
      </c>
      <c r="I19" s="1">
        <v>18</v>
      </c>
      <c r="J19" s="1" t="s">
        <v>138</v>
      </c>
      <c r="K19" s="1">
        <v>29</v>
      </c>
      <c r="L19" s="1">
        <v>2</v>
      </c>
      <c r="M19" s="1">
        <v>6</v>
      </c>
      <c r="N19" s="1"/>
      <c r="O19" s="1" t="s">
        <v>141</v>
      </c>
      <c r="Q19">
        <v>11</v>
      </c>
      <c r="R19">
        <v>7</v>
      </c>
      <c r="S19">
        <v>5</v>
      </c>
      <c r="AA19">
        <v>6</v>
      </c>
      <c r="AG19" t="str">
        <f t="shared" si="0"/>
        <v>Y</v>
      </c>
      <c r="AH19" t="str">
        <f t="shared" si="1"/>
        <v>No Catch</v>
      </c>
      <c r="AI19">
        <f t="shared" si="2"/>
        <v>0</v>
      </c>
      <c r="AJ19">
        <f t="shared" si="3"/>
        <v>0</v>
      </c>
    </row>
    <row r="20" spans="1:36" x14ac:dyDescent="0.5">
      <c r="A20" s="1">
        <v>3</v>
      </c>
      <c r="B20" s="1" t="s">
        <v>192</v>
      </c>
      <c r="C20" s="1">
        <v>0</v>
      </c>
      <c r="D20" s="1">
        <v>13</v>
      </c>
      <c r="E20" s="1">
        <v>3</v>
      </c>
      <c r="F20" s="1">
        <v>2</v>
      </c>
      <c r="G20" s="13">
        <v>0.59375</v>
      </c>
      <c r="H20" s="1">
        <v>42</v>
      </c>
      <c r="I20" s="1">
        <v>19</v>
      </c>
      <c r="J20" s="1" t="s">
        <v>138</v>
      </c>
      <c r="K20" s="1">
        <v>23</v>
      </c>
      <c r="L20" s="1">
        <v>1</v>
      </c>
      <c r="M20" s="1">
        <v>10</v>
      </c>
      <c r="N20" s="1"/>
      <c r="O20" s="1" t="s">
        <v>136</v>
      </c>
      <c r="P20" t="s">
        <v>81</v>
      </c>
      <c r="Q20">
        <v>11</v>
      </c>
      <c r="R20">
        <v>7</v>
      </c>
      <c r="S20">
        <v>5</v>
      </c>
      <c r="T20">
        <v>33</v>
      </c>
      <c r="U20">
        <v>-2</v>
      </c>
      <c r="V20">
        <v>1</v>
      </c>
      <c r="Y20">
        <v>8.6</v>
      </c>
      <c r="Z20">
        <v>10.220000000000001</v>
      </c>
      <c r="AA20">
        <v>6</v>
      </c>
      <c r="AG20" t="str">
        <f t="shared" si="0"/>
        <v>N</v>
      </c>
      <c r="AH20" t="str">
        <f t="shared" si="1"/>
        <v>No Catch</v>
      </c>
      <c r="AI20">
        <f t="shared" si="2"/>
        <v>0</v>
      </c>
      <c r="AJ20">
        <f t="shared" si="3"/>
        <v>1.620000000000001</v>
      </c>
    </row>
    <row r="21" spans="1:36" x14ac:dyDescent="0.5">
      <c r="A21" s="1">
        <v>3</v>
      </c>
      <c r="B21" s="1" t="s">
        <v>192</v>
      </c>
      <c r="C21" s="1">
        <v>0</v>
      </c>
      <c r="D21" s="1">
        <v>13</v>
      </c>
      <c r="E21" s="1">
        <v>3</v>
      </c>
      <c r="F21" s="1">
        <v>2</v>
      </c>
      <c r="G21" s="13">
        <v>0.56527777777777777</v>
      </c>
      <c r="H21" s="1">
        <v>43</v>
      </c>
      <c r="I21" s="1">
        <v>20</v>
      </c>
      <c r="J21" s="1" t="s">
        <v>138</v>
      </c>
      <c r="K21" s="1">
        <v>17</v>
      </c>
      <c r="L21" s="1">
        <v>2</v>
      </c>
      <c r="M21" s="1">
        <v>4</v>
      </c>
      <c r="N21" s="1"/>
      <c r="O21" s="1" t="s">
        <v>9</v>
      </c>
      <c r="P21" t="s">
        <v>139</v>
      </c>
      <c r="Q21">
        <v>11</v>
      </c>
      <c r="R21">
        <v>7</v>
      </c>
      <c r="S21">
        <v>5</v>
      </c>
      <c r="W21">
        <v>8.65</v>
      </c>
      <c r="X21">
        <v>10.18</v>
      </c>
      <c r="AA21">
        <v>17</v>
      </c>
      <c r="AB21" t="s">
        <v>28</v>
      </c>
      <c r="AC21" t="s">
        <v>82</v>
      </c>
      <c r="AD21" t="s">
        <v>41</v>
      </c>
      <c r="AE21">
        <v>17</v>
      </c>
      <c r="AF21">
        <v>4</v>
      </c>
      <c r="AG21" t="str">
        <f t="shared" si="0"/>
        <v>Y</v>
      </c>
      <c r="AH21">
        <f t="shared" si="1"/>
        <v>0</v>
      </c>
      <c r="AI21">
        <f t="shared" si="2"/>
        <v>1.5299999999999994</v>
      </c>
      <c r="AJ21">
        <f t="shared" si="3"/>
        <v>0</v>
      </c>
    </row>
    <row r="22" spans="1:36" x14ac:dyDescent="0.5">
      <c r="A22" s="1">
        <v>3</v>
      </c>
      <c r="B22" s="1" t="s">
        <v>192</v>
      </c>
      <c r="C22" s="1">
        <v>1</v>
      </c>
      <c r="D22" s="1">
        <v>20</v>
      </c>
      <c r="E22" s="1">
        <v>3</v>
      </c>
      <c r="F22" s="1">
        <v>2</v>
      </c>
      <c r="G22" s="13">
        <v>0.47986111111111113</v>
      </c>
      <c r="H22" s="1">
        <v>50</v>
      </c>
      <c r="I22" s="1">
        <v>21</v>
      </c>
      <c r="J22" s="1" t="s">
        <v>7</v>
      </c>
      <c r="K22" s="1">
        <v>39</v>
      </c>
      <c r="L22" s="1">
        <v>1</v>
      </c>
      <c r="M22" s="1">
        <v>10</v>
      </c>
      <c r="N22" s="1"/>
      <c r="O22" s="1" t="s">
        <v>9</v>
      </c>
      <c r="P22" t="s">
        <v>139</v>
      </c>
      <c r="Q22">
        <v>11</v>
      </c>
      <c r="R22">
        <v>7</v>
      </c>
      <c r="S22">
        <v>5</v>
      </c>
      <c r="W22">
        <v>11.68</v>
      </c>
      <c r="X22">
        <v>13.55</v>
      </c>
      <c r="AA22">
        <v>0</v>
      </c>
      <c r="AB22" t="s">
        <v>33</v>
      </c>
      <c r="AC22" t="s">
        <v>193</v>
      </c>
      <c r="AD22" t="s">
        <v>40</v>
      </c>
      <c r="AE22">
        <v>29</v>
      </c>
      <c r="AF22">
        <v>14</v>
      </c>
      <c r="AG22" t="str">
        <f t="shared" si="0"/>
        <v>N</v>
      </c>
      <c r="AH22" t="str">
        <f t="shared" si="1"/>
        <v>No Catch</v>
      </c>
      <c r="AI22">
        <f t="shared" si="2"/>
        <v>1.870000000000001</v>
      </c>
      <c r="AJ22">
        <f t="shared" si="3"/>
        <v>0</v>
      </c>
    </row>
    <row r="23" spans="1:36" x14ac:dyDescent="0.5">
      <c r="A23" s="1">
        <v>3</v>
      </c>
      <c r="B23" s="1" t="s">
        <v>192</v>
      </c>
      <c r="C23" s="1">
        <v>1</v>
      </c>
      <c r="D23" s="1">
        <v>20</v>
      </c>
      <c r="E23" s="1">
        <v>3</v>
      </c>
      <c r="F23" s="1">
        <v>2</v>
      </c>
      <c r="G23" s="13">
        <v>0.35625000000000001</v>
      </c>
      <c r="H23" s="1">
        <v>60</v>
      </c>
      <c r="I23" s="1">
        <v>22</v>
      </c>
      <c r="J23" s="1" t="s">
        <v>7</v>
      </c>
      <c r="K23" s="1">
        <v>31</v>
      </c>
      <c r="L23" s="1">
        <v>1</v>
      </c>
      <c r="M23" s="1">
        <v>10</v>
      </c>
      <c r="N23" s="1"/>
      <c r="O23" s="1" t="s">
        <v>136</v>
      </c>
      <c r="P23" t="s">
        <v>139</v>
      </c>
      <c r="Q23">
        <v>12</v>
      </c>
      <c r="R23">
        <v>8</v>
      </c>
      <c r="S23">
        <v>5</v>
      </c>
      <c r="T23">
        <v>1</v>
      </c>
      <c r="U23">
        <v>2</v>
      </c>
      <c r="Y23">
        <v>9.8699999999999992</v>
      </c>
      <c r="Z23">
        <v>11.63</v>
      </c>
      <c r="AA23">
        <v>2</v>
      </c>
      <c r="AG23" t="str">
        <f t="shared" si="0"/>
        <v>N</v>
      </c>
      <c r="AH23" t="str">
        <f t="shared" si="1"/>
        <v>No Catch</v>
      </c>
      <c r="AI23">
        <f t="shared" si="2"/>
        <v>0</v>
      </c>
      <c r="AJ23">
        <f t="shared" si="3"/>
        <v>1.7600000000000016</v>
      </c>
    </row>
    <row r="24" spans="1:36" x14ac:dyDescent="0.5">
      <c r="A24" s="1">
        <v>3</v>
      </c>
      <c r="B24" s="1" t="s">
        <v>192</v>
      </c>
      <c r="C24" s="1">
        <v>0</v>
      </c>
      <c r="D24" s="1">
        <v>20</v>
      </c>
      <c r="E24" s="1">
        <v>3</v>
      </c>
      <c r="F24" s="1">
        <v>2</v>
      </c>
      <c r="G24" s="13">
        <v>0.34513888888888888</v>
      </c>
      <c r="H24" s="1">
        <v>61</v>
      </c>
      <c r="I24" s="1">
        <v>23</v>
      </c>
      <c r="J24" s="1" t="s">
        <v>7</v>
      </c>
      <c r="K24" s="1">
        <v>33</v>
      </c>
      <c r="L24" s="1">
        <v>2</v>
      </c>
      <c r="M24" s="1">
        <v>8</v>
      </c>
      <c r="N24" s="1"/>
      <c r="O24" s="1" t="s">
        <v>136</v>
      </c>
      <c r="P24" t="s">
        <v>81</v>
      </c>
      <c r="Q24">
        <v>12</v>
      </c>
      <c r="R24">
        <v>7</v>
      </c>
      <c r="S24">
        <v>5</v>
      </c>
      <c r="T24">
        <v>1</v>
      </c>
      <c r="U24">
        <v>1</v>
      </c>
      <c r="Y24">
        <v>3.73</v>
      </c>
      <c r="Z24">
        <v>5.4</v>
      </c>
      <c r="AA24">
        <v>5</v>
      </c>
      <c r="AG24" t="str">
        <f t="shared" si="0"/>
        <v>N</v>
      </c>
      <c r="AH24" t="str">
        <f t="shared" si="1"/>
        <v>No Catch</v>
      </c>
      <c r="AI24">
        <f t="shared" si="2"/>
        <v>0</v>
      </c>
      <c r="AJ24">
        <f t="shared" si="3"/>
        <v>1.6700000000000004</v>
      </c>
    </row>
    <row r="25" spans="1:36" x14ac:dyDescent="0.5">
      <c r="A25" s="1">
        <v>3</v>
      </c>
      <c r="B25" s="1" t="s">
        <v>192</v>
      </c>
      <c r="C25" s="1">
        <v>0</v>
      </c>
      <c r="D25" s="1">
        <v>20</v>
      </c>
      <c r="E25" s="1">
        <v>3</v>
      </c>
      <c r="F25" s="1">
        <v>2</v>
      </c>
      <c r="G25" s="13">
        <v>0.30277777777777776</v>
      </c>
      <c r="H25" s="1">
        <v>63</v>
      </c>
      <c r="I25" s="1">
        <v>24</v>
      </c>
      <c r="J25" s="1" t="s">
        <v>7</v>
      </c>
      <c r="K25" s="1">
        <v>38</v>
      </c>
      <c r="L25" s="1">
        <v>3</v>
      </c>
      <c r="M25" s="1">
        <v>3</v>
      </c>
      <c r="N25" s="1" t="s">
        <v>195</v>
      </c>
      <c r="O25" s="1" t="s">
        <v>194</v>
      </c>
      <c r="AA25">
        <v>-5</v>
      </c>
      <c r="AG25" t="str">
        <f t="shared" si="0"/>
        <v>N</v>
      </c>
      <c r="AH25" t="str">
        <f t="shared" si="1"/>
        <v>No Catch</v>
      </c>
      <c r="AI25">
        <f t="shared" si="2"/>
        <v>0</v>
      </c>
      <c r="AJ25">
        <f t="shared" si="3"/>
        <v>0</v>
      </c>
    </row>
    <row r="26" spans="1:36" x14ac:dyDescent="0.5">
      <c r="A26" s="1">
        <v>3</v>
      </c>
      <c r="B26" s="1" t="s">
        <v>192</v>
      </c>
      <c r="C26" s="1">
        <v>0</v>
      </c>
      <c r="D26" s="1">
        <v>20</v>
      </c>
      <c r="E26" s="1">
        <v>3</v>
      </c>
      <c r="F26" s="1">
        <v>2</v>
      </c>
      <c r="G26" s="13">
        <v>0.30277777777777776</v>
      </c>
      <c r="H26" s="1">
        <v>64</v>
      </c>
      <c r="I26" s="1">
        <v>25</v>
      </c>
      <c r="J26" s="1" t="s">
        <v>7</v>
      </c>
      <c r="K26" s="1">
        <v>33</v>
      </c>
      <c r="L26" s="1">
        <v>3</v>
      </c>
      <c r="M26" s="1">
        <v>8</v>
      </c>
      <c r="N26" s="1"/>
      <c r="O26" s="1" t="s">
        <v>196</v>
      </c>
      <c r="Q26">
        <v>11</v>
      </c>
      <c r="R26">
        <v>7</v>
      </c>
      <c r="S26">
        <v>5</v>
      </c>
      <c r="W26">
        <v>5.94</v>
      </c>
      <c r="X26">
        <v>8.73</v>
      </c>
      <c r="AA26">
        <v>-6</v>
      </c>
      <c r="AG26" t="str">
        <f t="shared" si="0"/>
        <v>N</v>
      </c>
      <c r="AH26" t="str">
        <f t="shared" si="1"/>
        <v>No Catch</v>
      </c>
      <c r="AI26">
        <f t="shared" si="2"/>
        <v>2.79</v>
      </c>
      <c r="AJ26">
        <f t="shared" si="3"/>
        <v>0</v>
      </c>
    </row>
    <row r="27" spans="1:36" x14ac:dyDescent="0.5">
      <c r="A27" s="1">
        <v>3</v>
      </c>
      <c r="B27" s="1" t="s">
        <v>192</v>
      </c>
      <c r="C27" s="1">
        <v>0</v>
      </c>
      <c r="D27" s="1">
        <v>20</v>
      </c>
      <c r="E27" s="1">
        <v>3</v>
      </c>
      <c r="F27" s="1">
        <v>2</v>
      </c>
      <c r="G27" s="13">
        <v>0.26944444444444443</v>
      </c>
      <c r="H27" s="1">
        <v>66</v>
      </c>
      <c r="I27" s="1">
        <v>26</v>
      </c>
      <c r="J27" s="1" t="s">
        <v>7</v>
      </c>
      <c r="K27" s="1">
        <v>42</v>
      </c>
      <c r="L27" s="1">
        <v>1</v>
      </c>
      <c r="M27" s="1">
        <v>10</v>
      </c>
      <c r="N27" s="1"/>
      <c r="O27" s="1" t="s">
        <v>136</v>
      </c>
      <c r="P27" t="s">
        <v>139</v>
      </c>
      <c r="Q27">
        <v>11</v>
      </c>
      <c r="R27">
        <v>8</v>
      </c>
      <c r="S27">
        <v>5</v>
      </c>
      <c r="T27">
        <v>5</v>
      </c>
      <c r="U27">
        <v>28</v>
      </c>
      <c r="Y27">
        <v>11.82</v>
      </c>
      <c r="Z27">
        <v>18.86</v>
      </c>
      <c r="AA27">
        <v>28</v>
      </c>
      <c r="AG27" t="str">
        <f t="shared" si="0"/>
        <v>Y</v>
      </c>
      <c r="AH27" t="str">
        <f t="shared" si="1"/>
        <v>No Catch</v>
      </c>
      <c r="AI27">
        <f t="shared" si="2"/>
        <v>0</v>
      </c>
      <c r="AJ27">
        <f t="shared" si="3"/>
        <v>7.0399999999999991</v>
      </c>
    </row>
    <row r="28" spans="1:36" x14ac:dyDescent="0.5">
      <c r="A28" s="1">
        <v>3</v>
      </c>
      <c r="B28" s="1" t="s">
        <v>192</v>
      </c>
      <c r="C28" s="1">
        <v>0</v>
      </c>
      <c r="D28" s="1">
        <v>20</v>
      </c>
      <c r="E28" s="1">
        <v>3</v>
      </c>
      <c r="F28" s="1">
        <v>2</v>
      </c>
      <c r="G28" s="13">
        <v>0.26319444444444445</v>
      </c>
      <c r="H28" s="1">
        <v>67</v>
      </c>
      <c r="I28" s="1">
        <v>27</v>
      </c>
      <c r="J28" s="1" t="s">
        <v>138</v>
      </c>
      <c r="K28" s="1">
        <v>30</v>
      </c>
      <c r="L28" s="1">
        <v>1</v>
      </c>
      <c r="M28" s="1">
        <v>10</v>
      </c>
      <c r="N28" s="1"/>
      <c r="O28" s="1" t="s">
        <v>136</v>
      </c>
      <c r="P28" t="s">
        <v>81</v>
      </c>
      <c r="Q28">
        <v>11</v>
      </c>
      <c r="R28">
        <v>7</v>
      </c>
      <c r="S28">
        <v>5</v>
      </c>
      <c r="T28">
        <v>33</v>
      </c>
      <c r="U28">
        <v>-1</v>
      </c>
      <c r="Y28">
        <v>12.54</v>
      </c>
      <c r="Z28">
        <v>14.06</v>
      </c>
      <c r="AA28">
        <v>-1</v>
      </c>
      <c r="AG28" t="str">
        <f t="shared" si="0"/>
        <v>N</v>
      </c>
      <c r="AH28" t="str">
        <f t="shared" si="1"/>
        <v>No Catch</v>
      </c>
      <c r="AI28">
        <f t="shared" si="2"/>
        <v>0</v>
      </c>
      <c r="AJ28">
        <f t="shared" si="3"/>
        <v>1.5200000000000014</v>
      </c>
    </row>
    <row r="29" spans="1:36" x14ac:dyDescent="0.5">
      <c r="A29" s="1">
        <v>3</v>
      </c>
      <c r="B29" s="1" t="s">
        <v>192</v>
      </c>
      <c r="C29" s="1">
        <v>0</v>
      </c>
      <c r="D29" s="1">
        <v>20</v>
      </c>
      <c r="E29" s="1">
        <v>3</v>
      </c>
      <c r="F29" s="1">
        <v>2</v>
      </c>
      <c r="G29" s="13">
        <v>0.25208333333333333</v>
      </c>
      <c r="H29" s="1">
        <v>68</v>
      </c>
      <c r="I29" s="1">
        <v>28</v>
      </c>
      <c r="J29" s="1" t="s">
        <v>138</v>
      </c>
      <c r="K29" s="1">
        <v>31</v>
      </c>
      <c r="L29" s="1">
        <v>2</v>
      </c>
      <c r="M29" s="1">
        <v>11</v>
      </c>
      <c r="N29" s="1"/>
      <c r="O29" s="1" t="s">
        <v>196</v>
      </c>
      <c r="Q29">
        <v>11</v>
      </c>
      <c r="R29">
        <v>7</v>
      </c>
      <c r="S29">
        <v>5</v>
      </c>
      <c r="W29">
        <v>12.25</v>
      </c>
      <c r="X29">
        <v>14.56</v>
      </c>
      <c r="AA29">
        <v>-4</v>
      </c>
      <c r="AG29" t="str">
        <f t="shared" si="0"/>
        <v>N</v>
      </c>
      <c r="AH29" t="str">
        <f t="shared" si="1"/>
        <v>No Catch</v>
      </c>
      <c r="AI29">
        <f t="shared" si="2"/>
        <v>2.3100000000000005</v>
      </c>
      <c r="AJ29">
        <f t="shared" si="3"/>
        <v>0</v>
      </c>
    </row>
    <row r="30" spans="1:36" x14ac:dyDescent="0.5">
      <c r="A30" s="1">
        <v>3</v>
      </c>
      <c r="B30" s="1" t="s">
        <v>192</v>
      </c>
      <c r="C30" s="1">
        <v>0</v>
      </c>
      <c r="D30" s="1">
        <v>20</v>
      </c>
      <c r="E30" s="1">
        <v>3</v>
      </c>
      <c r="F30" s="1">
        <v>2</v>
      </c>
      <c r="G30" s="13">
        <v>0.22152777777777777</v>
      </c>
      <c r="H30" s="1">
        <v>69</v>
      </c>
      <c r="I30" s="1">
        <v>29</v>
      </c>
      <c r="J30" s="1" t="s">
        <v>138</v>
      </c>
      <c r="K30" s="1">
        <v>35</v>
      </c>
      <c r="L30" s="1">
        <v>3</v>
      </c>
      <c r="M30" s="1">
        <v>15</v>
      </c>
      <c r="N30" s="1"/>
      <c r="O30" s="1" t="s">
        <v>136</v>
      </c>
      <c r="P30" t="s">
        <v>137</v>
      </c>
      <c r="Q30">
        <v>11</v>
      </c>
      <c r="R30">
        <v>6</v>
      </c>
      <c r="S30">
        <v>5</v>
      </c>
      <c r="T30">
        <v>5</v>
      </c>
      <c r="U30">
        <v>-3</v>
      </c>
      <c r="Y30">
        <v>11.9</v>
      </c>
      <c r="Z30">
        <v>13.09</v>
      </c>
      <c r="AA30">
        <v>-3</v>
      </c>
      <c r="AG30" t="str">
        <f t="shared" si="0"/>
        <v>N</v>
      </c>
      <c r="AH30" t="str">
        <f t="shared" si="1"/>
        <v>No Catch</v>
      </c>
      <c r="AI30">
        <f t="shared" si="2"/>
        <v>0</v>
      </c>
      <c r="AJ30">
        <f t="shared" si="3"/>
        <v>1.1899999999999995</v>
      </c>
    </row>
    <row r="31" spans="1:36" x14ac:dyDescent="0.5">
      <c r="A31" s="1">
        <v>3</v>
      </c>
      <c r="B31" s="1" t="s">
        <v>192</v>
      </c>
      <c r="C31" s="1">
        <v>1</v>
      </c>
      <c r="D31" s="1">
        <v>20</v>
      </c>
      <c r="E31" s="1">
        <v>3</v>
      </c>
      <c r="F31" s="1">
        <v>2</v>
      </c>
      <c r="G31" s="13">
        <v>8.1944444444444445E-2</v>
      </c>
      <c r="H31" s="1">
        <v>75</v>
      </c>
      <c r="I31" s="1">
        <v>30</v>
      </c>
      <c r="J31" s="1" t="s">
        <v>138</v>
      </c>
      <c r="K31" s="1">
        <v>48</v>
      </c>
      <c r="L31" s="1">
        <v>1</v>
      </c>
      <c r="M31" s="1">
        <v>10</v>
      </c>
      <c r="N31" s="1"/>
      <c r="O31" s="1" t="s">
        <v>9</v>
      </c>
      <c r="P31" t="s">
        <v>137</v>
      </c>
      <c r="Q31">
        <v>11</v>
      </c>
      <c r="R31">
        <v>6</v>
      </c>
      <c r="S31">
        <v>5</v>
      </c>
      <c r="W31">
        <v>12.43</v>
      </c>
      <c r="X31">
        <v>14.09</v>
      </c>
      <c r="AA31">
        <v>5</v>
      </c>
      <c r="AC31" t="s">
        <v>82</v>
      </c>
      <c r="AD31" t="s">
        <v>41</v>
      </c>
      <c r="AE31">
        <v>5</v>
      </c>
      <c r="AF31">
        <v>82</v>
      </c>
      <c r="AG31" t="str">
        <f t="shared" si="0"/>
        <v>N</v>
      </c>
      <c r="AH31">
        <f t="shared" si="1"/>
        <v>0</v>
      </c>
      <c r="AI31">
        <f t="shared" si="2"/>
        <v>1.6600000000000001</v>
      </c>
      <c r="AJ31">
        <f t="shared" si="3"/>
        <v>0</v>
      </c>
    </row>
    <row r="32" spans="1:36" x14ac:dyDescent="0.5">
      <c r="A32" s="1">
        <v>3</v>
      </c>
      <c r="B32" s="1" t="s">
        <v>192</v>
      </c>
      <c r="C32" s="1">
        <v>0</v>
      </c>
      <c r="D32" s="1">
        <v>20</v>
      </c>
      <c r="E32" s="1">
        <v>3</v>
      </c>
      <c r="F32" s="1">
        <v>2</v>
      </c>
      <c r="G32" s="13">
        <v>7.1527777777777787E-2</v>
      </c>
      <c r="H32" s="1">
        <v>76</v>
      </c>
      <c r="I32" s="1">
        <v>31</v>
      </c>
      <c r="J32" s="1" t="s">
        <v>138</v>
      </c>
      <c r="K32" s="1">
        <v>43</v>
      </c>
      <c r="L32" s="1">
        <v>2</v>
      </c>
      <c r="M32" s="1">
        <v>5</v>
      </c>
      <c r="N32" s="1"/>
      <c r="O32" s="1" t="s">
        <v>136</v>
      </c>
      <c r="P32" t="s">
        <v>137</v>
      </c>
      <c r="Q32">
        <v>11</v>
      </c>
      <c r="R32">
        <v>6</v>
      </c>
      <c r="S32">
        <v>5</v>
      </c>
      <c r="T32">
        <v>1</v>
      </c>
      <c r="U32">
        <v>11</v>
      </c>
      <c r="Y32">
        <v>6.42</v>
      </c>
      <c r="Z32">
        <v>9.44</v>
      </c>
      <c r="AA32">
        <v>15</v>
      </c>
      <c r="AG32" t="str">
        <f t="shared" si="0"/>
        <v>Y</v>
      </c>
      <c r="AH32" t="str">
        <f t="shared" si="1"/>
        <v>No Catch</v>
      </c>
      <c r="AI32">
        <f t="shared" si="2"/>
        <v>0</v>
      </c>
      <c r="AJ32">
        <f t="shared" si="3"/>
        <v>3.0199999999999996</v>
      </c>
    </row>
    <row r="33" spans="1:36" x14ac:dyDescent="0.5">
      <c r="A33" s="1">
        <v>3</v>
      </c>
      <c r="B33" s="1" t="s">
        <v>192</v>
      </c>
      <c r="C33" s="1">
        <v>0</v>
      </c>
      <c r="D33" s="1">
        <v>20</v>
      </c>
      <c r="E33" s="1">
        <v>3</v>
      </c>
      <c r="F33" s="1">
        <v>2</v>
      </c>
      <c r="G33" s="13">
        <v>5.6250000000000001E-2</v>
      </c>
      <c r="H33" s="1">
        <v>77</v>
      </c>
      <c r="I33" s="1">
        <v>32</v>
      </c>
      <c r="J33" s="1" t="s">
        <v>138</v>
      </c>
      <c r="K33" s="1">
        <v>28</v>
      </c>
      <c r="L33" s="1">
        <v>1</v>
      </c>
      <c r="M33" s="1">
        <v>10</v>
      </c>
      <c r="N33" s="1"/>
      <c r="O33" s="1" t="s">
        <v>136</v>
      </c>
      <c r="P33" t="s">
        <v>137</v>
      </c>
      <c r="Q33">
        <v>11</v>
      </c>
      <c r="R33">
        <v>6</v>
      </c>
      <c r="S33">
        <v>5</v>
      </c>
      <c r="T33">
        <v>1</v>
      </c>
      <c r="U33">
        <v>3</v>
      </c>
      <c r="Y33">
        <v>6.77</v>
      </c>
      <c r="Z33">
        <v>8.1</v>
      </c>
      <c r="AA33">
        <v>4</v>
      </c>
      <c r="AG33" t="str">
        <f t="shared" si="0"/>
        <v>N</v>
      </c>
      <c r="AH33" t="str">
        <f t="shared" si="1"/>
        <v>No Catch</v>
      </c>
      <c r="AI33">
        <f t="shared" si="2"/>
        <v>0</v>
      </c>
      <c r="AJ33">
        <f t="shared" si="3"/>
        <v>1.33</v>
      </c>
    </row>
    <row r="34" spans="1:36" x14ac:dyDescent="0.5">
      <c r="A34" s="1">
        <v>3</v>
      </c>
      <c r="B34" s="1" t="s">
        <v>192</v>
      </c>
      <c r="C34" s="1">
        <v>0</v>
      </c>
      <c r="D34" s="1">
        <v>20</v>
      </c>
      <c r="E34" s="1">
        <v>3</v>
      </c>
      <c r="F34" s="1">
        <v>2</v>
      </c>
      <c r="G34" s="13">
        <v>3.7499999999999999E-2</v>
      </c>
      <c r="H34" s="1">
        <v>78</v>
      </c>
      <c r="I34" s="1">
        <v>33</v>
      </c>
      <c r="J34" s="1" t="s">
        <v>138</v>
      </c>
      <c r="K34" s="1">
        <v>24</v>
      </c>
      <c r="L34" s="1">
        <v>2</v>
      </c>
      <c r="M34" s="1">
        <v>6</v>
      </c>
      <c r="N34" s="1"/>
      <c r="O34" s="1" t="s">
        <v>9</v>
      </c>
      <c r="P34" t="s">
        <v>137</v>
      </c>
      <c r="Q34">
        <v>11</v>
      </c>
      <c r="R34">
        <v>6</v>
      </c>
      <c r="S34">
        <v>5</v>
      </c>
      <c r="W34">
        <v>8.7100000000000009</v>
      </c>
      <c r="X34">
        <v>9.6999999999999993</v>
      </c>
      <c r="AA34">
        <v>7</v>
      </c>
      <c r="AC34" t="s">
        <v>82</v>
      </c>
      <c r="AD34" t="s">
        <v>41</v>
      </c>
      <c r="AE34">
        <v>7</v>
      </c>
      <c r="AF34">
        <v>14</v>
      </c>
      <c r="AG34" t="str">
        <f t="shared" si="0"/>
        <v>Y</v>
      </c>
      <c r="AH34">
        <f t="shared" si="1"/>
        <v>0</v>
      </c>
      <c r="AI34">
        <f t="shared" si="2"/>
        <v>0.98999999999999844</v>
      </c>
      <c r="AJ34">
        <f t="shared" si="3"/>
        <v>0</v>
      </c>
    </row>
    <row r="35" spans="1:36" x14ac:dyDescent="0.5">
      <c r="A35" s="1">
        <v>3</v>
      </c>
      <c r="B35" s="1" t="s">
        <v>192</v>
      </c>
      <c r="C35" s="1">
        <v>0</v>
      </c>
      <c r="D35" s="1">
        <v>20</v>
      </c>
      <c r="E35" s="1">
        <v>3</v>
      </c>
      <c r="F35" s="1">
        <v>2</v>
      </c>
      <c r="G35" s="13">
        <v>2.0833333333333332E-2</v>
      </c>
      <c r="H35" s="1">
        <v>79</v>
      </c>
      <c r="I35" s="1">
        <v>34</v>
      </c>
      <c r="J35" s="1" t="s">
        <v>138</v>
      </c>
      <c r="K35" s="1">
        <v>17</v>
      </c>
      <c r="L35" s="1">
        <v>1</v>
      </c>
      <c r="M35" s="1">
        <v>10</v>
      </c>
      <c r="N35" s="1"/>
      <c r="O35" s="1" t="s">
        <v>136</v>
      </c>
      <c r="P35" t="s">
        <v>81</v>
      </c>
      <c r="Q35">
        <v>11</v>
      </c>
      <c r="R35">
        <v>7</v>
      </c>
      <c r="S35">
        <v>5</v>
      </c>
      <c r="T35">
        <v>5</v>
      </c>
      <c r="U35">
        <v>-2</v>
      </c>
      <c r="Y35">
        <v>4.3899999999999997</v>
      </c>
      <c r="Z35">
        <v>7.39</v>
      </c>
      <c r="AA35">
        <v>-2</v>
      </c>
      <c r="AG35" t="str">
        <f t="shared" si="0"/>
        <v>N</v>
      </c>
      <c r="AH35" t="str">
        <f t="shared" si="1"/>
        <v>No Catch</v>
      </c>
      <c r="AI35">
        <f t="shared" si="2"/>
        <v>0</v>
      </c>
      <c r="AJ35">
        <f t="shared" si="3"/>
        <v>3</v>
      </c>
    </row>
    <row r="36" spans="1:36" x14ac:dyDescent="0.5">
      <c r="A36" s="1">
        <v>3</v>
      </c>
      <c r="B36" s="1" t="s">
        <v>192</v>
      </c>
      <c r="C36" s="1">
        <v>0</v>
      </c>
      <c r="D36" s="1">
        <v>20</v>
      </c>
      <c r="E36" s="1">
        <v>3</v>
      </c>
      <c r="F36" s="1">
        <v>2</v>
      </c>
      <c r="G36" s="13">
        <v>1.6666666666666666E-2</v>
      </c>
      <c r="H36" s="1">
        <v>80</v>
      </c>
      <c r="I36" s="1">
        <v>35</v>
      </c>
      <c r="J36" s="1" t="s">
        <v>138</v>
      </c>
      <c r="K36" s="1">
        <v>19</v>
      </c>
      <c r="L36" s="1">
        <v>2</v>
      </c>
      <c r="M36" s="1">
        <v>12</v>
      </c>
      <c r="N36" s="1"/>
      <c r="O36" s="1" t="s">
        <v>9</v>
      </c>
      <c r="P36" t="s">
        <v>139</v>
      </c>
      <c r="Q36">
        <v>11</v>
      </c>
      <c r="R36">
        <v>6</v>
      </c>
      <c r="S36">
        <v>5</v>
      </c>
      <c r="W36">
        <v>11.11</v>
      </c>
      <c r="X36">
        <v>18.36</v>
      </c>
      <c r="AA36">
        <v>9</v>
      </c>
      <c r="AC36" t="s">
        <v>82</v>
      </c>
      <c r="AD36" t="s">
        <v>41</v>
      </c>
      <c r="AE36">
        <v>5</v>
      </c>
      <c r="AF36">
        <v>4</v>
      </c>
      <c r="AG36" t="str">
        <f t="shared" si="0"/>
        <v>N</v>
      </c>
      <c r="AH36">
        <f t="shared" si="1"/>
        <v>4</v>
      </c>
      <c r="AI36">
        <f t="shared" si="2"/>
        <v>7.25</v>
      </c>
      <c r="AJ36">
        <f t="shared" si="3"/>
        <v>0</v>
      </c>
    </row>
    <row r="37" spans="1:36" x14ac:dyDescent="0.5">
      <c r="A37" s="1">
        <v>3</v>
      </c>
      <c r="B37" s="1" t="s">
        <v>192</v>
      </c>
      <c r="C37" s="1">
        <v>0</v>
      </c>
      <c r="D37" s="1">
        <v>20</v>
      </c>
      <c r="E37" s="1">
        <v>3</v>
      </c>
      <c r="F37" s="1">
        <v>2</v>
      </c>
      <c r="G37" s="13">
        <v>6.2499999999999995E-3</v>
      </c>
      <c r="H37" s="1">
        <v>81</v>
      </c>
      <c r="I37" s="1">
        <v>36</v>
      </c>
      <c r="J37" s="1" t="s">
        <v>138</v>
      </c>
      <c r="K37" s="1">
        <v>10</v>
      </c>
      <c r="L37" s="1">
        <v>3</v>
      </c>
      <c r="M37" s="1">
        <v>3</v>
      </c>
      <c r="N37" s="1"/>
      <c r="O37" s="1" t="s">
        <v>9</v>
      </c>
      <c r="Q37">
        <v>11</v>
      </c>
      <c r="R37">
        <v>6</v>
      </c>
      <c r="S37">
        <v>5</v>
      </c>
      <c r="W37">
        <v>16.350000000000001</v>
      </c>
      <c r="X37">
        <v>18.989999999999998</v>
      </c>
      <c r="AA37">
        <v>0</v>
      </c>
      <c r="AC37" t="s">
        <v>193</v>
      </c>
      <c r="AD37" t="s">
        <v>197</v>
      </c>
      <c r="AG37" t="str">
        <f t="shared" si="0"/>
        <v>N</v>
      </c>
      <c r="AH37" t="str">
        <f t="shared" si="1"/>
        <v>No Catch</v>
      </c>
      <c r="AI37">
        <f t="shared" si="2"/>
        <v>2.639999999999997</v>
      </c>
      <c r="AJ37">
        <f t="shared" si="3"/>
        <v>0</v>
      </c>
    </row>
    <row r="38" spans="1:36" x14ac:dyDescent="0.5">
      <c r="A38" s="1">
        <v>3</v>
      </c>
      <c r="B38" s="1" t="s">
        <v>192</v>
      </c>
      <c r="C38" s="1">
        <v>1</v>
      </c>
      <c r="D38" s="1">
        <v>20</v>
      </c>
      <c r="E38" s="1">
        <v>3</v>
      </c>
      <c r="F38" s="1">
        <v>2</v>
      </c>
      <c r="G38" s="13">
        <v>0.62222222222222223</v>
      </c>
      <c r="H38" s="1">
        <v>84</v>
      </c>
      <c r="I38" s="1">
        <v>37</v>
      </c>
      <c r="J38" s="1" t="s">
        <v>7</v>
      </c>
      <c r="K38" s="1">
        <v>39</v>
      </c>
      <c r="L38" s="1">
        <v>1</v>
      </c>
      <c r="M38" s="1">
        <v>10</v>
      </c>
      <c r="N38" s="1"/>
      <c r="O38" s="1" t="s">
        <v>9</v>
      </c>
      <c r="P38" t="s">
        <v>137</v>
      </c>
      <c r="Q38">
        <v>11</v>
      </c>
      <c r="R38">
        <v>7</v>
      </c>
      <c r="S38">
        <v>5</v>
      </c>
      <c r="V38">
        <v>2</v>
      </c>
      <c r="W38">
        <v>12.56</v>
      </c>
      <c r="X38">
        <v>14.39</v>
      </c>
      <c r="AA38">
        <v>16</v>
      </c>
      <c r="AC38" t="s">
        <v>82</v>
      </c>
      <c r="AD38" t="s">
        <v>41</v>
      </c>
      <c r="AE38">
        <v>7</v>
      </c>
      <c r="AF38">
        <v>14</v>
      </c>
      <c r="AG38" t="str">
        <f t="shared" si="0"/>
        <v>Y</v>
      </c>
      <c r="AH38">
        <f t="shared" si="1"/>
        <v>9</v>
      </c>
      <c r="AI38">
        <f t="shared" si="2"/>
        <v>1.83</v>
      </c>
      <c r="AJ38">
        <f t="shared" si="3"/>
        <v>0</v>
      </c>
    </row>
    <row r="39" spans="1:36" x14ac:dyDescent="0.5">
      <c r="A39" s="1">
        <v>3</v>
      </c>
      <c r="B39" s="1" t="s">
        <v>192</v>
      </c>
      <c r="C39" s="1">
        <v>0</v>
      </c>
      <c r="D39" s="1">
        <v>20</v>
      </c>
      <c r="E39" s="1">
        <v>3</v>
      </c>
      <c r="F39" s="1">
        <v>2</v>
      </c>
      <c r="G39" s="13">
        <v>0.6118055555555556</v>
      </c>
      <c r="H39" s="1">
        <v>85</v>
      </c>
      <c r="I39" s="1">
        <v>38</v>
      </c>
      <c r="J39" s="1" t="s">
        <v>138</v>
      </c>
      <c r="K39" s="1">
        <v>45</v>
      </c>
      <c r="L39" s="1">
        <v>1</v>
      </c>
      <c r="M39" s="1">
        <v>10</v>
      </c>
      <c r="N39" s="1"/>
      <c r="O39" s="1" t="s">
        <v>136</v>
      </c>
      <c r="P39" t="s">
        <v>137</v>
      </c>
      <c r="Q39">
        <v>12</v>
      </c>
      <c r="R39">
        <v>8</v>
      </c>
      <c r="S39">
        <v>5</v>
      </c>
      <c r="T39">
        <v>1</v>
      </c>
      <c r="U39">
        <v>0</v>
      </c>
      <c r="Y39">
        <v>9.1</v>
      </c>
      <c r="Z39">
        <v>10.199999999999999</v>
      </c>
      <c r="AA39">
        <v>2</v>
      </c>
      <c r="AG39" t="str">
        <f t="shared" si="0"/>
        <v>N</v>
      </c>
      <c r="AH39" t="str">
        <f t="shared" si="1"/>
        <v>No Catch</v>
      </c>
      <c r="AI39">
        <f t="shared" si="2"/>
        <v>0</v>
      </c>
      <c r="AJ39">
        <f t="shared" si="3"/>
        <v>1.0999999999999996</v>
      </c>
    </row>
    <row r="40" spans="1:36" x14ac:dyDescent="0.5">
      <c r="A40" s="1">
        <v>3</v>
      </c>
      <c r="B40" s="1" t="s">
        <v>192</v>
      </c>
      <c r="C40" s="1">
        <v>0</v>
      </c>
      <c r="D40" s="1">
        <v>20</v>
      </c>
      <c r="E40" s="1">
        <v>3</v>
      </c>
      <c r="F40" s="1">
        <v>2</v>
      </c>
      <c r="G40" s="13">
        <v>0.59305555555555556</v>
      </c>
      <c r="H40" s="1">
        <v>86</v>
      </c>
      <c r="I40" s="1">
        <v>39</v>
      </c>
      <c r="J40" s="1" t="s">
        <v>138</v>
      </c>
      <c r="K40" s="1">
        <v>43</v>
      </c>
      <c r="L40" s="1">
        <v>2</v>
      </c>
      <c r="M40" s="1">
        <v>8</v>
      </c>
      <c r="N40" s="1"/>
      <c r="O40" s="1" t="s">
        <v>9</v>
      </c>
      <c r="P40" t="s">
        <v>137</v>
      </c>
      <c r="Q40">
        <v>11</v>
      </c>
      <c r="R40">
        <v>7</v>
      </c>
      <c r="S40">
        <v>5</v>
      </c>
      <c r="V40">
        <v>1</v>
      </c>
      <c r="W40">
        <v>9.8000000000000007</v>
      </c>
      <c r="X40">
        <v>10.68</v>
      </c>
      <c r="AA40">
        <v>8</v>
      </c>
      <c r="AC40" t="s">
        <v>82</v>
      </c>
      <c r="AD40" t="s">
        <v>41</v>
      </c>
      <c r="AE40">
        <v>8</v>
      </c>
      <c r="AF40">
        <v>14</v>
      </c>
      <c r="AG40" t="str">
        <f t="shared" si="0"/>
        <v>Y</v>
      </c>
      <c r="AH40">
        <f t="shared" si="1"/>
        <v>0</v>
      </c>
      <c r="AI40">
        <f t="shared" si="2"/>
        <v>0.87999999999999901</v>
      </c>
      <c r="AJ40">
        <f t="shared" si="3"/>
        <v>0</v>
      </c>
    </row>
    <row r="41" spans="1:36" x14ac:dyDescent="0.5">
      <c r="A41" s="1">
        <v>3</v>
      </c>
      <c r="B41" s="1" t="s">
        <v>192</v>
      </c>
      <c r="C41" s="1">
        <v>0</v>
      </c>
      <c r="D41" s="1">
        <v>20</v>
      </c>
      <c r="E41" s="1">
        <v>3</v>
      </c>
      <c r="F41" s="1">
        <v>2</v>
      </c>
      <c r="G41" s="13">
        <v>0.57430555555555551</v>
      </c>
      <c r="H41" s="1">
        <v>87</v>
      </c>
      <c r="I41" s="1">
        <v>40</v>
      </c>
      <c r="J41" s="1" t="s">
        <v>138</v>
      </c>
      <c r="K41" s="1">
        <v>35</v>
      </c>
      <c r="L41" s="1">
        <v>1</v>
      </c>
      <c r="M41" s="1">
        <v>10</v>
      </c>
      <c r="N41" s="1"/>
      <c r="O41" s="1" t="s">
        <v>136</v>
      </c>
      <c r="P41" t="s">
        <v>81</v>
      </c>
      <c r="Q41">
        <v>11</v>
      </c>
      <c r="R41">
        <v>7</v>
      </c>
      <c r="S41">
        <v>5</v>
      </c>
      <c r="T41" t="s">
        <v>199</v>
      </c>
      <c r="AA41">
        <v>-4</v>
      </c>
      <c r="AB41" t="s">
        <v>198</v>
      </c>
      <c r="AG41" t="str">
        <f t="shared" si="0"/>
        <v>N</v>
      </c>
      <c r="AH41" t="str">
        <f t="shared" si="1"/>
        <v>No Catch</v>
      </c>
      <c r="AI41">
        <f t="shared" si="2"/>
        <v>0</v>
      </c>
      <c r="AJ41">
        <f t="shared" si="3"/>
        <v>0</v>
      </c>
    </row>
    <row r="42" spans="1:36" x14ac:dyDescent="0.5">
      <c r="A42" s="1">
        <v>3</v>
      </c>
      <c r="B42" s="1" t="s">
        <v>192</v>
      </c>
      <c r="C42" s="1">
        <v>0</v>
      </c>
      <c r="D42" s="1">
        <v>20</v>
      </c>
      <c r="E42" s="1">
        <v>3</v>
      </c>
      <c r="F42" s="1">
        <v>2</v>
      </c>
      <c r="G42" s="13">
        <v>0.5541666666666667</v>
      </c>
      <c r="H42" s="1">
        <v>88</v>
      </c>
      <c r="I42" s="1">
        <v>41</v>
      </c>
      <c r="J42" s="1" t="s">
        <v>138</v>
      </c>
      <c r="K42" s="1">
        <v>39</v>
      </c>
      <c r="L42" s="1">
        <v>2</v>
      </c>
      <c r="M42" s="1">
        <v>14</v>
      </c>
      <c r="N42" s="1"/>
      <c r="O42" s="1" t="s">
        <v>9</v>
      </c>
      <c r="P42" t="s">
        <v>137</v>
      </c>
      <c r="Q42">
        <v>11</v>
      </c>
      <c r="R42">
        <v>7</v>
      </c>
      <c r="S42">
        <v>5</v>
      </c>
      <c r="W42">
        <v>8.2799999999999994</v>
      </c>
      <c r="X42">
        <v>9.82</v>
      </c>
      <c r="AA42">
        <v>4</v>
      </c>
      <c r="AC42" t="s">
        <v>82</v>
      </c>
      <c r="AD42" t="s">
        <v>41</v>
      </c>
      <c r="AE42">
        <v>4</v>
      </c>
      <c r="AF42">
        <v>84</v>
      </c>
      <c r="AG42" t="str">
        <f t="shared" si="0"/>
        <v>N</v>
      </c>
      <c r="AH42">
        <f t="shared" si="1"/>
        <v>0</v>
      </c>
      <c r="AI42">
        <f t="shared" si="2"/>
        <v>1.5400000000000009</v>
      </c>
      <c r="AJ42">
        <f t="shared" si="3"/>
        <v>0</v>
      </c>
    </row>
    <row r="43" spans="1:36" x14ac:dyDescent="0.5">
      <c r="A43" s="1">
        <v>3</v>
      </c>
      <c r="B43" s="1" t="s">
        <v>192</v>
      </c>
      <c r="C43" s="1">
        <v>0</v>
      </c>
      <c r="D43" s="1">
        <v>20</v>
      </c>
      <c r="E43" s="1">
        <v>3</v>
      </c>
      <c r="F43" s="1">
        <v>2</v>
      </c>
      <c r="G43" s="13">
        <v>0.52916666666666667</v>
      </c>
      <c r="H43" s="1">
        <v>89</v>
      </c>
      <c r="I43" s="1">
        <v>42</v>
      </c>
      <c r="J43" s="1" t="s">
        <v>138</v>
      </c>
      <c r="K43" s="1">
        <v>35</v>
      </c>
      <c r="L43" s="1">
        <v>3</v>
      </c>
      <c r="M43" s="1">
        <v>10</v>
      </c>
      <c r="N43" s="1"/>
      <c r="O43" s="1" t="s">
        <v>136</v>
      </c>
      <c r="P43" t="s">
        <v>139</v>
      </c>
      <c r="Q43">
        <v>12</v>
      </c>
      <c r="R43">
        <v>8</v>
      </c>
      <c r="S43">
        <v>5</v>
      </c>
      <c r="T43">
        <v>1</v>
      </c>
      <c r="U43">
        <v>7</v>
      </c>
      <c r="Y43">
        <v>14.98</v>
      </c>
      <c r="Z43">
        <v>18.88</v>
      </c>
      <c r="AA43">
        <v>7</v>
      </c>
      <c r="AG43" t="str">
        <f t="shared" si="0"/>
        <v>N</v>
      </c>
      <c r="AH43" t="str">
        <f t="shared" si="1"/>
        <v>No Catch</v>
      </c>
      <c r="AI43">
        <f t="shared" si="2"/>
        <v>0</v>
      </c>
      <c r="AJ43">
        <f t="shared" si="3"/>
        <v>3.8999999999999986</v>
      </c>
    </row>
    <row r="44" spans="1:36" x14ac:dyDescent="0.5">
      <c r="A44" s="1">
        <v>3</v>
      </c>
      <c r="B44" s="1" t="s">
        <v>192</v>
      </c>
      <c r="C44" s="1">
        <v>0</v>
      </c>
      <c r="D44" s="1">
        <v>20</v>
      </c>
      <c r="E44" s="1">
        <v>3</v>
      </c>
      <c r="F44" s="1">
        <v>2</v>
      </c>
      <c r="G44" s="13">
        <v>0.50763888888888886</v>
      </c>
      <c r="H44" s="1">
        <v>90</v>
      </c>
      <c r="I44" s="1">
        <v>43</v>
      </c>
      <c r="J44" s="1" t="s">
        <v>138</v>
      </c>
      <c r="K44" s="1">
        <v>28</v>
      </c>
      <c r="L44" s="1">
        <v>4</v>
      </c>
      <c r="M44" s="1">
        <v>3</v>
      </c>
      <c r="N44" s="1"/>
      <c r="O44" s="1" t="s">
        <v>196</v>
      </c>
      <c r="Q44">
        <v>11</v>
      </c>
      <c r="R44">
        <v>8</v>
      </c>
      <c r="S44">
        <v>5</v>
      </c>
      <c r="W44">
        <v>17.41</v>
      </c>
      <c r="X44">
        <v>19.37</v>
      </c>
      <c r="AA44">
        <v>-14</v>
      </c>
      <c r="AG44" t="str">
        <f t="shared" si="0"/>
        <v>N</v>
      </c>
      <c r="AH44" t="str">
        <f t="shared" si="1"/>
        <v>No Catch</v>
      </c>
      <c r="AI44">
        <f t="shared" si="2"/>
        <v>1.9600000000000009</v>
      </c>
      <c r="AJ44">
        <f t="shared" si="3"/>
        <v>0</v>
      </c>
    </row>
    <row r="45" spans="1:36" x14ac:dyDescent="0.5">
      <c r="A45" s="1">
        <v>3</v>
      </c>
      <c r="B45" s="1" t="s">
        <v>192</v>
      </c>
      <c r="C45" s="1">
        <v>1</v>
      </c>
      <c r="D45" s="1">
        <v>20</v>
      </c>
      <c r="E45" s="1">
        <v>3</v>
      </c>
      <c r="F45" s="1">
        <v>2</v>
      </c>
      <c r="G45" s="13">
        <v>0.38125000000000003</v>
      </c>
      <c r="H45" s="1">
        <v>96</v>
      </c>
      <c r="I45" s="1">
        <v>44</v>
      </c>
      <c r="J45" s="1" t="s">
        <v>7</v>
      </c>
      <c r="K45" s="1">
        <v>12</v>
      </c>
      <c r="L45" s="1">
        <v>1</v>
      </c>
      <c r="M45" s="1">
        <v>10</v>
      </c>
      <c r="N45" s="1"/>
      <c r="O45" s="1" t="s">
        <v>136</v>
      </c>
      <c r="P45" t="s">
        <v>137</v>
      </c>
      <c r="Q45">
        <v>11</v>
      </c>
      <c r="R45">
        <v>7</v>
      </c>
      <c r="S45">
        <v>5</v>
      </c>
      <c r="T45">
        <v>33</v>
      </c>
      <c r="U45">
        <v>-1</v>
      </c>
      <c r="Y45">
        <v>7.79</v>
      </c>
      <c r="Z45">
        <v>9.59</v>
      </c>
      <c r="AA45">
        <v>1</v>
      </c>
      <c r="AG45" t="str">
        <f t="shared" si="0"/>
        <v>N</v>
      </c>
      <c r="AH45" t="str">
        <f t="shared" si="1"/>
        <v>No Catch</v>
      </c>
      <c r="AI45">
        <f t="shared" si="2"/>
        <v>0</v>
      </c>
      <c r="AJ45">
        <f t="shared" si="3"/>
        <v>1.7999999999999998</v>
      </c>
    </row>
    <row r="46" spans="1:36" x14ac:dyDescent="0.5">
      <c r="A46" s="1">
        <v>3</v>
      </c>
      <c r="B46" s="1" t="s">
        <v>192</v>
      </c>
      <c r="C46" s="1">
        <v>0</v>
      </c>
      <c r="D46" s="1">
        <v>20</v>
      </c>
      <c r="E46" s="1">
        <v>3</v>
      </c>
      <c r="F46" s="1">
        <v>2</v>
      </c>
      <c r="G46" s="13">
        <v>0.37291666666666662</v>
      </c>
      <c r="H46" s="1">
        <v>97</v>
      </c>
      <c r="I46" s="1">
        <v>45</v>
      </c>
      <c r="J46" s="1" t="s">
        <v>7</v>
      </c>
      <c r="K46" s="1">
        <v>13</v>
      </c>
      <c r="L46" s="1">
        <v>2</v>
      </c>
      <c r="M46" s="1">
        <v>9</v>
      </c>
      <c r="N46" s="1"/>
      <c r="O46" s="1" t="s">
        <v>196</v>
      </c>
      <c r="Q46">
        <v>11</v>
      </c>
      <c r="R46">
        <v>6</v>
      </c>
      <c r="S46">
        <v>5</v>
      </c>
      <c r="W46">
        <v>8.7899999999999991</v>
      </c>
      <c r="X46">
        <v>10.38</v>
      </c>
      <c r="AA46">
        <v>-8</v>
      </c>
      <c r="AG46" t="str">
        <f t="shared" si="0"/>
        <v>N</v>
      </c>
      <c r="AH46" t="str">
        <f t="shared" si="1"/>
        <v>No Catch</v>
      </c>
      <c r="AI46">
        <f t="shared" si="2"/>
        <v>1.5900000000000016</v>
      </c>
      <c r="AJ46">
        <f t="shared" si="3"/>
        <v>0</v>
      </c>
    </row>
    <row r="47" spans="1:36" x14ac:dyDescent="0.5">
      <c r="A47" s="1">
        <v>3</v>
      </c>
      <c r="B47" s="1" t="s">
        <v>192</v>
      </c>
      <c r="C47" s="1">
        <v>0</v>
      </c>
      <c r="D47" s="1">
        <v>20</v>
      </c>
      <c r="E47" s="1">
        <v>3</v>
      </c>
      <c r="F47" s="1">
        <v>2</v>
      </c>
      <c r="G47" s="13">
        <v>0.34375</v>
      </c>
      <c r="H47" s="1">
        <v>98</v>
      </c>
      <c r="I47" s="1">
        <v>46</v>
      </c>
      <c r="J47" s="1" t="s">
        <v>7</v>
      </c>
      <c r="K47" s="1">
        <v>5</v>
      </c>
      <c r="L47" s="1">
        <v>3</v>
      </c>
      <c r="M47" s="1">
        <v>17</v>
      </c>
      <c r="N47" s="1"/>
      <c r="O47" s="1" t="s">
        <v>136</v>
      </c>
      <c r="P47" t="s">
        <v>137</v>
      </c>
      <c r="Q47">
        <v>11</v>
      </c>
      <c r="R47">
        <v>6</v>
      </c>
      <c r="S47">
        <v>5</v>
      </c>
      <c r="T47">
        <v>1</v>
      </c>
      <c r="U47">
        <v>6</v>
      </c>
      <c r="Y47">
        <v>4.07</v>
      </c>
      <c r="Z47">
        <v>6.52</v>
      </c>
      <c r="AA47">
        <v>11</v>
      </c>
      <c r="AG47" t="str">
        <f t="shared" si="0"/>
        <v>N</v>
      </c>
      <c r="AH47" t="str">
        <f t="shared" si="1"/>
        <v>No Catch</v>
      </c>
      <c r="AI47">
        <f t="shared" si="2"/>
        <v>0</v>
      </c>
      <c r="AJ47">
        <f t="shared" si="3"/>
        <v>2.4499999999999993</v>
      </c>
    </row>
    <row r="48" spans="1:36" x14ac:dyDescent="0.5">
      <c r="A48" s="1">
        <v>3</v>
      </c>
      <c r="B48" s="1" t="s">
        <v>192</v>
      </c>
      <c r="C48" s="1">
        <v>1</v>
      </c>
      <c r="D48" s="1">
        <v>20</v>
      </c>
      <c r="E48" s="1">
        <v>3</v>
      </c>
      <c r="F48" s="1">
        <v>3</v>
      </c>
      <c r="G48" s="13">
        <v>0.12013888888888889</v>
      </c>
      <c r="H48" s="1">
        <v>112</v>
      </c>
      <c r="I48" s="1">
        <v>47</v>
      </c>
      <c r="J48" s="1" t="s">
        <v>7</v>
      </c>
      <c r="K48" s="1">
        <v>20</v>
      </c>
      <c r="L48" s="1">
        <v>1</v>
      </c>
      <c r="M48" s="1">
        <v>10</v>
      </c>
      <c r="N48" s="1" t="s">
        <v>195</v>
      </c>
      <c r="O48" s="1" t="s">
        <v>194</v>
      </c>
      <c r="AA48">
        <v>-5</v>
      </c>
      <c r="AG48" t="str">
        <f t="shared" si="0"/>
        <v>N</v>
      </c>
      <c r="AH48" t="str">
        <f t="shared" si="1"/>
        <v>No Catch</v>
      </c>
      <c r="AI48">
        <f t="shared" si="2"/>
        <v>0</v>
      </c>
      <c r="AJ48">
        <f t="shared" si="3"/>
        <v>0</v>
      </c>
    </row>
    <row r="49" spans="1:36" x14ac:dyDescent="0.5">
      <c r="A49" s="1">
        <v>3</v>
      </c>
      <c r="B49" s="1" t="s">
        <v>192</v>
      </c>
      <c r="C49" s="1">
        <v>0</v>
      </c>
      <c r="D49" s="1">
        <v>20</v>
      </c>
      <c r="E49" s="1">
        <v>3</v>
      </c>
      <c r="F49" s="1">
        <v>3</v>
      </c>
      <c r="G49" s="13">
        <v>0.12013888888888889</v>
      </c>
      <c r="H49" s="1">
        <v>113</v>
      </c>
      <c r="I49" s="1">
        <v>48</v>
      </c>
      <c r="J49" s="1" t="s">
        <v>7</v>
      </c>
      <c r="K49" s="1">
        <v>15</v>
      </c>
      <c r="L49" s="1">
        <v>1</v>
      </c>
      <c r="M49" s="1">
        <v>15</v>
      </c>
      <c r="N49" s="1"/>
      <c r="O49" s="1" t="s">
        <v>136</v>
      </c>
      <c r="P49" t="s">
        <v>137</v>
      </c>
      <c r="Q49">
        <v>12</v>
      </c>
      <c r="R49">
        <v>8</v>
      </c>
      <c r="S49">
        <v>5</v>
      </c>
      <c r="T49">
        <v>33</v>
      </c>
      <c r="U49">
        <v>9</v>
      </c>
      <c r="Y49">
        <v>4.05</v>
      </c>
      <c r="Z49">
        <v>7.12</v>
      </c>
      <c r="AA49">
        <v>20</v>
      </c>
      <c r="AG49" t="str">
        <f t="shared" si="0"/>
        <v>Y</v>
      </c>
      <c r="AH49" t="str">
        <f t="shared" si="1"/>
        <v>No Catch</v>
      </c>
      <c r="AI49">
        <f t="shared" si="2"/>
        <v>0</v>
      </c>
      <c r="AJ49">
        <f t="shared" si="3"/>
        <v>3.0700000000000003</v>
      </c>
    </row>
    <row r="50" spans="1:36" x14ac:dyDescent="0.5">
      <c r="A50" s="1">
        <v>3</v>
      </c>
      <c r="B50" s="1" t="s">
        <v>192</v>
      </c>
      <c r="C50" s="1">
        <v>0</v>
      </c>
      <c r="D50" s="1">
        <v>20</v>
      </c>
      <c r="E50" s="1">
        <v>3</v>
      </c>
      <c r="F50" s="1">
        <v>3</v>
      </c>
      <c r="G50" s="13">
        <v>0.11388888888888889</v>
      </c>
      <c r="H50" s="1">
        <v>114</v>
      </c>
      <c r="I50" s="1">
        <v>49</v>
      </c>
      <c r="J50" s="1" t="s">
        <v>7</v>
      </c>
      <c r="K50" s="1">
        <v>35</v>
      </c>
      <c r="L50" s="1">
        <v>1</v>
      </c>
      <c r="M50" s="1">
        <v>10</v>
      </c>
      <c r="N50" s="1"/>
      <c r="O50" s="1" t="s">
        <v>136</v>
      </c>
      <c r="P50" t="s">
        <v>139</v>
      </c>
      <c r="Q50">
        <v>12</v>
      </c>
      <c r="R50">
        <v>8</v>
      </c>
      <c r="S50">
        <v>5</v>
      </c>
      <c r="T50">
        <v>33</v>
      </c>
      <c r="U50">
        <v>0</v>
      </c>
      <c r="Y50">
        <v>3.4</v>
      </c>
      <c r="Z50">
        <v>4.72</v>
      </c>
      <c r="AA50">
        <v>4</v>
      </c>
      <c r="AG50" t="str">
        <f t="shared" si="0"/>
        <v>N</v>
      </c>
      <c r="AH50" t="str">
        <f t="shared" si="1"/>
        <v>No Catch</v>
      </c>
      <c r="AI50">
        <f t="shared" si="2"/>
        <v>0</v>
      </c>
      <c r="AJ50">
        <f t="shared" si="3"/>
        <v>1.3199999999999998</v>
      </c>
    </row>
    <row r="51" spans="1:36" x14ac:dyDescent="0.5">
      <c r="A51" s="1">
        <v>3</v>
      </c>
      <c r="B51" s="1" t="s">
        <v>192</v>
      </c>
      <c r="C51" s="1">
        <v>0</v>
      </c>
      <c r="D51" s="1">
        <v>20</v>
      </c>
      <c r="E51" s="1">
        <v>3</v>
      </c>
      <c r="F51" s="1">
        <v>3</v>
      </c>
      <c r="G51" s="13">
        <v>9.7916666666666666E-2</v>
      </c>
      <c r="H51" s="1">
        <v>115</v>
      </c>
      <c r="I51" s="1">
        <v>50</v>
      </c>
      <c r="J51" s="1" t="s">
        <v>7</v>
      </c>
      <c r="K51" s="1">
        <v>39</v>
      </c>
      <c r="L51" s="1">
        <v>2</v>
      </c>
      <c r="M51" s="1">
        <v>6</v>
      </c>
      <c r="N51" s="1"/>
      <c r="O51" s="1" t="s">
        <v>136</v>
      </c>
      <c r="P51" t="s">
        <v>137</v>
      </c>
      <c r="Q51">
        <v>11</v>
      </c>
      <c r="R51">
        <v>7</v>
      </c>
      <c r="S51">
        <v>5</v>
      </c>
      <c r="T51">
        <v>33</v>
      </c>
      <c r="U51">
        <v>0</v>
      </c>
      <c r="Y51">
        <v>3.38</v>
      </c>
      <c r="Z51">
        <v>4.5999999999999996</v>
      </c>
      <c r="AA51">
        <v>2</v>
      </c>
      <c r="AG51" t="str">
        <f t="shared" si="0"/>
        <v>N</v>
      </c>
      <c r="AH51" t="str">
        <f t="shared" si="1"/>
        <v>No Catch</v>
      </c>
      <c r="AI51">
        <f t="shared" si="2"/>
        <v>0</v>
      </c>
      <c r="AJ51">
        <f t="shared" si="3"/>
        <v>1.2199999999999998</v>
      </c>
    </row>
    <row r="52" spans="1:36" x14ac:dyDescent="0.5">
      <c r="A52" s="1">
        <v>3</v>
      </c>
      <c r="B52" s="1" t="s">
        <v>192</v>
      </c>
      <c r="C52" s="1">
        <v>0</v>
      </c>
      <c r="D52" s="1">
        <v>20</v>
      </c>
      <c r="E52" s="1">
        <v>3</v>
      </c>
      <c r="F52" s="1">
        <v>3</v>
      </c>
      <c r="G52" s="13">
        <v>8.819444444444445E-2</v>
      </c>
      <c r="H52" s="1">
        <v>116</v>
      </c>
      <c r="I52" s="1">
        <v>51</v>
      </c>
      <c r="J52" s="1" t="s">
        <v>7</v>
      </c>
      <c r="K52" s="1">
        <v>41</v>
      </c>
      <c r="L52" s="1">
        <v>3</v>
      </c>
      <c r="M52" s="1">
        <v>4</v>
      </c>
      <c r="N52" s="1"/>
      <c r="O52" s="1" t="s">
        <v>136</v>
      </c>
      <c r="P52" t="s">
        <v>137</v>
      </c>
      <c r="Q52">
        <v>11</v>
      </c>
      <c r="R52">
        <v>7</v>
      </c>
      <c r="S52">
        <v>5</v>
      </c>
      <c r="T52">
        <v>1</v>
      </c>
      <c r="U52">
        <v>3</v>
      </c>
      <c r="Y52">
        <v>4.4800000000000004</v>
      </c>
      <c r="Z52">
        <v>5.63</v>
      </c>
      <c r="AA52">
        <v>8</v>
      </c>
      <c r="AG52" t="str">
        <f t="shared" si="0"/>
        <v>Y</v>
      </c>
      <c r="AH52" t="str">
        <f t="shared" si="1"/>
        <v>No Catch</v>
      </c>
      <c r="AI52">
        <f t="shared" si="2"/>
        <v>0</v>
      </c>
      <c r="AJ52">
        <f t="shared" si="3"/>
        <v>1.1499999999999995</v>
      </c>
    </row>
    <row r="53" spans="1:36" x14ac:dyDescent="0.5">
      <c r="A53" s="1">
        <v>3</v>
      </c>
      <c r="B53" s="1" t="s">
        <v>192</v>
      </c>
      <c r="C53" s="1">
        <v>0</v>
      </c>
      <c r="D53" s="1">
        <v>20</v>
      </c>
      <c r="E53" s="1">
        <v>3</v>
      </c>
      <c r="F53" s="1">
        <v>3</v>
      </c>
      <c r="G53" s="13">
        <v>7.2916666666666671E-2</v>
      </c>
      <c r="H53" s="1">
        <v>117</v>
      </c>
      <c r="I53" s="1">
        <v>52</v>
      </c>
      <c r="J53" s="1" t="s">
        <v>7</v>
      </c>
      <c r="K53" s="1">
        <v>49</v>
      </c>
      <c r="L53" s="1">
        <v>1</v>
      </c>
      <c r="M53" s="1">
        <v>10</v>
      </c>
      <c r="N53" s="1"/>
      <c r="O53" s="1" t="s">
        <v>136</v>
      </c>
      <c r="P53" t="s">
        <v>139</v>
      </c>
      <c r="Q53">
        <v>12</v>
      </c>
      <c r="R53">
        <v>8</v>
      </c>
      <c r="S53">
        <v>5</v>
      </c>
      <c r="T53">
        <v>1</v>
      </c>
      <c r="U53">
        <v>-3</v>
      </c>
      <c r="Y53">
        <v>6.98</v>
      </c>
      <c r="Z53">
        <v>8.3699999999999992</v>
      </c>
      <c r="AA53">
        <v>0</v>
      </c>
      <c r="AG53" t="str">
        <f t="shared" si="0"/>
        <v>N</v>
      </c>
      <c r="AH53" t="str">
        <f t="shared" si="1"/>
        <v>No Catch</v>
      </c>
      <c r="AI53">
        <f t="shared" si="2"/>
        <v>0</v>
      </c>
      <c r="AJ53">
        <f t="shared" si="3"/>
        <v>1.3899999999999988</v>
      </c>
    </row>
    <row r="54" spans="1:36" x14ac:dyDescent="0.5">
      <c r="A54" s="1">
        <v>3</v>
      </c>
      <c r="B54" s="1" t="s">
        <v>192</v>
      </c>
      <c r="C54" s="1">
        <v>0</v>
      </c>
      <c r="D54" s="1">
        <v>20</v>
      </c>
      <c r="E54" s="1">
        <v>3</v>
      </c>
      <c r="F54" s="1">
        <v>3</v>
      </c>
      <c r="G54" s="13">
        <v>3.8194444444444441E-2</v>
      </c>
      <c r="H54" s="1">
        <v>118</v>
      </c>
      <c r="I54" s="1">
        <v>53</v>
      </c>
      <c r="J54" s="1" t="s">
        <v>7</v>
      </c>
      <c r="K54" s="1">
        <v>49</v>
      </c>
      <c r="L54" s="1">
        <v>2</v>
      </c>
      <c r="M54" s="1">
        <v>10</v>
      </c>
      <c r="N54" s="1"/>
      <c r="O54" s="1" t="s">
        <v>136</v>
      </c>
      <c r="P54" t="s">
        <v>139</v>
      </c>
      <c r="Q54">
        <v>11</v>
      </c>
      <c r="R54">
        <v>7</v>
      </c>
      <c r="S54">
        <v>5</v>
      </c>
      <c r="T54">
        <v>1</v>
      </c>
      <c r="U54">
        <v>-2</v>
      </c>
      <c r="Y54">
        <v>11.79</v>
      </c>
      <c r="Z54">
        <v>14.57</v>
      </c>
      <c r="AA54">
        <v>0</v>
      </c>
      <c r="AG54" t="str">
        <f t="shared" si="0"/>
        <v>N</v>
      </c>
      <c r="AH54" t="str">
        <f t="shared" si="1"/>
        <v>No Catch</v>
      </c>
      <c r="AI54">
        <f t="shared" si="2"/>
        <v>0</v>
      </c>
      <c r="AJ54">
        <f t="shared" si="3"/>
        <v>2.7800000000000011</v>
      </c>
    </row>
    <row r="55" spans="1:36" x14ac:dyDescent="0.5">
      <c r="A55" s="1">
        <v>3</v>
      </c>
      <c r="B55" s="1" t="s">
        <v>192</v>
      </c>
      <c r="C55" s="1">
        <v>0</v>
      </c>
      <c r="D55" s="1">
        <v>20</v>
      </c>
      <c r="E55" s="1">
        <v>3</v>
      </c>
      <c r="F55" s="1">
        <v>4</v>
      </c>
      <c r="G55" s="13">
        <v>0.625</v>
      </c>
      <c r="H55" s="1">
        <v>119</v>
      </c>
      <c r="I55" s="1">
        <v>54</v>
      </c>
      <c r="J55" s="1" t="s">
        <v>7</v>
      </c>
      <c r="K55" s="1">
        <v>49</v>
      </c>
      <c r="L55" s="1">
        <v>3</v>
      </c>
      <c r="M55" s="1">
        <v>10</v>
      </c>
      <c r="N55" s="1"/>
      <c r="O55" s="1" t="s">
        <v>136</v>
      </c>
      <c r="P55" t="s">
        <v>81</v>
      </c>
      <c r="Q55">
        <v>11</v>
      </c>
      <c r="R55">
        <v>7</v>
      </c>
      <c r="S55">
        <v>5</v>
      </c>
      <c r="T55">
        <v>1</v>
      </c>
      <c r="U55">
        <v>6</v>
      </c>
      <c r="V55">
        <v>1</v>
      </c>
      <c r="Y55">
        <v>16.510000000000002</v>
      </c>
      <c r="Z55">
        <v>20.309999999999999</v>
      </c>
      <c r="AA55">
        <v>11</v>
      </c>
      <c r="AG55" t="str">
        <f t="shared" si="0"/>
        <v>Y</v>
      </c>
      <c r="AH55" t="str">
        <f t="shared" si="1"/>
        <v>No Catch</v>
      </c>
      <c r="AI55">
        <f t="shared" si="2"/>
        <v>0</v>
      </c>
      <c r="AJ55">
        <f t="shared" si="3"/>
        <v>3.7999999999999972</v>
      </c>
    </row>
    <row r="56" spans="1:36" x14ac:dyDescent="0.5">
      <c r="A56" s="1">
        <v>3</v>
      </c>
      <c r="B56" s="1" t="s">
        <v>192</v>
      </c>
      <c r="C56" s="1">
        <v>0</v>
      </c>
      <c r="D56" s="1">
        <v>20</v>
      </c>
      <c r="E56" s="1">
        <v>3</v>
      </c>
      <c r="F56" s="1">
        <v>4</v>
      </c>
      <c r="G56" s="13">
        <v>0.61319444444444449</v>
      </c>
      <c r="H56" s="1">
        <v>120</v>
      </c>
      <c r="I56" s="1">
        <v>55</v>
      </c>
      <c r="J56" s="1" t="s">
        <v>138</v>
      </c>
      <c r="K56" s="1">
        <v>40</v>
      </c>
      <c r="L56" s="1">
        <v>1</v>
      </c>
      <c r="M56" s="1">
        <v>10</v>
      </c>
      <c r="N56" s="1"/>
      <c r="O56" s="1" t="s">
        <v>9</v>
      </c>
      <c r="P56" t="s">
        <v>81</v>
      </c>
      <c r="Q56">
        <v>11</v>
      </c>
      <c r="R56">
        <v>7</v>
      </c>
      <c r="S56">
        <v>5</v>
      </c>
      <c r="W56">
        <v>7.97</v>
      </c>
      <c r="X56">
        <v>10.46</v>
      </c>
      <c r="AA56">
        <v>4</v>
      </c>
      <c r="AC56" t="s">
        <v>82</v>
      </c>
      <c r="AD56" t="s">
        <v>41</v>
      </c>
      <c r="AE56">
        <v>0</v>
      </c>
      <c r="AF56">
        <v>1</v>
      </c>
      <c r="AG56" t="str">
        <f t="shared" si="0"/>
        <v>N</v>
      </c>
      <c r="AH56">
        <f t="shared" si="1"/>
        <v>4</v>
      </c>
      <c r="AI56">
        <f t="shared" si="2"/>
        <v>2.4900000000000011</v>
      </c>
      <c r="AJ56">
        <f t="shared" si="3"/>
        <v>0</v>
      </c>
    </row>
    <row r="57" spans="1:36" x14ac:dyDescent="0.5">
      <c r="A57" s="1">
        <v>3</v>
      </c>
      <c r="B57" s="1" t="s">
        <v>192</v>
      </c>
      <c r="C57" s="1">
        <v>0</v>
      </c>
      <c r="D57" s="1">
        <v>20</v>
      </c>
      <c r="E57" s="1">
        <v>3</v>
      </c>
      <c r="F57" s="1">
        <v>4</v>
      </c>
      <c r="G57" s="13">
        <v>0.59861111111111109</v>
      </c>
      <c r="H57" s="1">
        <v>121</v>
      </c>
      <c r="I57" s="1">
        <v>56</v>
      </c>
      <c r="J57" s="1" t="s">
        <v>138</v>
      </c>
      <c r="K57" s="1">
        <v>36</v>
      </c>
      <c r="L57" s="1">
        <v>2</v>
      </c>
      <c r="M57" s="1">
        <v>6</v>
      </c>
      <c r="N57" s="1"/>
      <c r="O57" s="1" t="s">
        <v>136</v>
      </c>
      <c r="P57" t="s">
        <v>139</v>
      </c>
      <c r="Q57">
        <v>11</v>
      </c>
      <c r="R57">
        <v>8</v>
      </c>
      <c r="S57">
        <v>5</v>
      </c>
      <c r="T57">
        <v>33</v>
      </c>
      <c r="U57">
        <v>9</v>
      </c>
      <c r="Y57">
        <v>11.53</v>
      </c>
      <c r="Z57">
        <v>14.22</v>
      </c>
      <c r="AA57">
        <v>12</v>
      </c>
      <c r="AG57" t="str">
        <f t="shared" si="0"/>
        <v>Y</v>
      </c>
      <c r="AH57" t="str">
        <f t="shared" si="1"/>
        <v>No Catch</v>
      </c>
      <c r="AI57">
        <f t="shared" si="2"/>
        <v>0</v>
      </c>
      <c r="AJ57">
        <f t="shared" si="3"/>
        <v>2.6900000000000013</v>
      </c>
    </row>
    <row r="58" spans="1:36" x14ac:dyDescent="0.5">
      <c r="A58" s="1">
        <v>3</v>
      </c>
      <c r="B58" s="1" t="s">
        <v>192</v>
      </c>
      <c r="C58" s="1">
        <v>0</v>
      </c>
      <c r="D58" s="1">
        <v>20</v>
      </c>
      <c r="E58" s="1">
        <v>3</v>
      </c>
      <c r="F58" s="1">
        <v>4</v>
      </c>
      <c r="G58" s="13">
        <v>0.5805555555555556</v>
      </c>
      <c r="H58" s="1">
        <v>122</v>
      </c>
      <c r="I58" s="1">
        <v>57</v>
      </c>
      <c r="J58" s="1" t="s">
        <v>138</v>
      </c>
      <c r="K58" s="1">
        <v>24</v>
      </c>
      <c r="L58" s="1">
        <v>1</v>
      </c>
      <c r="M58" s="1">
        <v>10</v>
      </c>
      <c r="N58" s="1"/>
      <c r="O58" s="1" t="s">
        <v>9</v>
      </c>
      <c r="P58" t="s">
        <v>81</v>
      </c>
      <c r="Q58">
        <v>11</v>
      </c>
      <c r="R58">
        <v>7</v>
      </c>
      <c r="S58">
        <v>5</v>
      </c>
      <c r="W58">
        <v>6.59</v>
      </c>
      <c r="X58">
        <v>7.38</v>
      </c>
      <c r="AA58">
        <v>-3</v>
      </c>
      <c r="AC58" t="s">
        <v>82</v>
      </c>
      <c r="AD58" t="s">
        <v>41</v>
      </c>
      <c r="AE58">
        <v>-4</v>
      </c>
      <c r="AF58">
        <v>4</v>
      </c>
      <c r="AG58" t="str">
        <f t="shared" si="0"/>
        <v>N</v>
      </c>
      <c r="AH58">
        <f t="shared" si="1"/>
        <v>1</v>
      </c>
      <c r="AI58">
        <f t="shared" si="2"/>
        <v>0.79</v>
      </c>
      <c r="AJ58">
        <f t="shared" si="3"/>
        <v>0</v>
      </c>
    </row>
    <row r="59" spans="1:36" x14ac:dyDescent="0.5">
      <c r="A59" s="1">
        <v>3</v>
      </c>
      <c r="B59" s="1" t="s">
        <v>192</v>
      </c>
      <c r="C59" s="1">
        <v>0</v>
      </c>
      <c r="D59" s="1">
        <v>20</v>
      </c>
      <c r="E59" s="1">
        <v>3</v>
      </c>
      <c r="F59" s="1">
        <v>4</v>
      </c>
      <c r="G59" s="13">
        <v>0.55277777777777781</v>
      </c>
      <c r="H59" s="1">
        <v>123</v>
      </c>
      <c r="I59" s="1">
        <v>58</v>
      </c>
      <c r="J59" s="1" t="s">
        <v>138</v>
      </c>
      <c r="K59" s="1">
        <v>27</v>
      </c>
      <c r="L59" s="1">
        <v>2</v>
      </c>
      <c r="M59" s="1">
        <v>13</v>
      </c>
      <c r="N59" s="1"/>
      <c r="O59" s="1" t="s">
        <v>136</v>
      </c>
      <c r="P59" t="s">
        <v>137</v>
      </c>
      <c r="Q59">
        <v>11</v>
      </c>
      <c r="R59">
        <v>7</v>
      </c>
      <c r="S59">
        <v>5</v>
      </c>
      <c r="T59">
        <v>33</v>
      </c>
      <c r="U59">
        <v>4</v>
      </c>
      <c r="Y59">
        <v>8.7799999999999994</v>
      </c>
      <c r="Z59">
        <v>9.94</v>
      </c>
      <c r="AA59">
        <v>27</v>
      </c>
      <c r="AB59" t="s">
        <v>28</v>
      </c>
      <c r="AG59" t="str">
        <f t="shared" si="0"/>
        <v>Y</v>
      </c>
      <c r="AH59" t="str">
        <f t="shared" si="1"/>
        <v>No Catch</v>
      </c>
      <c r="AI59">
        <f t="shared" si="2"/>
        <v>0</v>
      </c>
      <c r="AJ59">
        <f t="shared" si="3"/>
        <v>1.1600000000000001</v>
      </c>
    </row>
    <row r="60" spans="1:36" x14ac:dyDescent="0.5">
      <c r="A60" s="1">
        <v>3</v>
      </c>
      <c r="B60" s="1" t="s">
        <v>192</v>
      </c>
      <c r="C60" s="1">
        <v>1</v>
      </c>
      <c r="D60" s="1">
        <v>27</v>
      </c>
      <c r="E60" s="1">
        <v>10</v>
      </c>
      <c r="F60" s="1">
        <v>4</v>
      </c>
      <c r="G60" s="13">
        <v>0.45277777777777778</v>
      </c>
      <c r="H60" s="1">
        <v>136</v>
      </c>
      <c r="I60" s="1">
        <v>59</v>
      </c>
      <c r="J60" s="1" t="s">
        <v>7</v>
      </c>
      <c r="K60" s="1">
        <v>25</v>
      </c>
      <c r="L60" s="1">
        <v>1</v>
      </c>
      <c r="M60" s="1">
        <v>10</v>
      </c>
      <c r="N60" s="1"/>
      <c r="O60" s="1" t="s">
        <v>136</v>
      </c>
      <c r="P60" t="s">
        <v>137</v>
      </c>
      <c r="Q60">
        <v>11</v>
      </c>
      <c r="R60">
        <v>7</v>
      </c>
      <c r="S60">
        <v>5</v>
      </c>
      <c r="T60">
        <v>1</v>
      </c>
      <c r="U60">
        <v>0</v>
      </c>
      <c r="Y60">
        <v>6.59</v>
      </c>
      <c r="Z60">
        <v>7.92</v>
      </c>
      <c r="AA60">
        <v>4</v>
      </c>
      <c r="AG60" t="str">
        <f t="shared" si="0"/>
        <v>N</v>
      </c>
      <c r="AH60" t="str">
        <f t="shared" si="1"/>
        <v>No Catch</v>
      </c>
      <c r="AI60">
        <f t="shared" si="2"/>
        <v>0</v>
      </c>
      <c r="AJ60">
        <f t="shared" si="3"/>
        <v>1.33</v>
      </c>
    </row>
    <row r="61" spans="1:36" x14ac:dyDescent="0.5">
      <c r="A61" s="1">
        <v>3</v>
      </c>
      <c r="B61" s="1" t="s">
        <v>192</v>
      </c>
      <c r="C61" s="1">
        <v>0</v>
      </c>
      <c r="D61" s="1">
        <v>27</v>
      </c>
      <c r="E61" s="1">
        <v>10</v>
      </c>
      <c r="F61" s="1">
        <v>4</v>
      </c>
      <c r="G61" s="13">
        <v>0.44236111111111115</v>
      </c>
      <c r="H61" s="1">
        <v>137</v>
      </c>
      <c r="I61" s="1">
        <v>60</v>
      </c>
      <c r="J61" s="1" t="s">
        <v>7</v>
      </c>
      <c r="K61" s="1">
        <v>29</v>
      </c>
      <c r="L61" s="1">
        <v>2</v>
      </c>
      <c r="M61" s="1">
        <v>6</v>
      </c>
      <c r="N61" s="1"/>
      <c r="O61" s="1" t="s">
        <v>136</v>
      </c>
      <c r="P61" t="s">
        <v>139</v>
      </c>
      <c r="Q61">
        <v>11</v>
      </c>
      <c r="R61">
        <v>7</v>
      </c>
      <c r="S61">
        <v>5</v>
      </c>
      <c r="T61">
        <v>1</v>
      </c>
      <c r="U61">
        <v>9</v>
      </c>
      <c r="Y61">
        <v>11.88</v>
      </c>
      <c r="Z61">
        <v>15.3</v>
      </c>
      <c r="AA61">
        <v>14</v>
      </c>
      <c r="AG61" t="str">
        <f t="shared" si="0"/>
        <v>Y</v>
      </c>
      <c r="AH61" t="str">
        <f t="shared" si="1"/>
        <v>No Catch</v>
      </c>
      <c r="AI61">
        <f t="shared" si="2"/>
        <v>0</v>
      </c>
      <c r="AJ61">
        <f t="shared" si="3"/>
        <v>3.42</v>
      </c>
    </row>
    <row r="62" spans="1:36" x14ac:dyDescent="0.5">
      <c r="A62" s="1">
        <v>3</v>
      </c>
      <c r="B62" s="1" t="s">
        <v>192</v>
      </c>
      <c r="C62" s="1">
        <v>0</v>
      </c>
      <c r="D62" s="1">
        <v>27</v>
      </c>
      <c r="E62" s="1">
        <v>10</v>
      </c>
      <c r="F62" s="1">
        <v>4</v>
      </c>
      <c r="G62" s="13">
        <v>0.42083333333333334</v>
      </c>
      <c r="H62" s="1">
        <v>138</v>
      </c>
      <c r="I62" s="1">
        <v>61</v>
      </c>
      <c r="J62" s="1" t="s">
        <v>7</v>
      </c>
      <c r="K62" s="1">
        <v>43</v>
      </c>
      <c r="L62" s="1">
        <v>1</v>
      </c>
      <c r="M62" s="1">
        <v>10</v>
      </c>
      <c r="N62" s="1"/>
      <c r="O62" s="1" t="s">
        <v>136</v>
      </c>
      <c r="P62" t="s">
        <v>137</v>
      </c>
      <c r="Q62">
        <v>11</v>
      </c>
      <c r="R62">
        <v>7</v>
      </c>
      <c r="S62">
        <v>5</v>
      </c>
      <c r="T62">
        <v>1</v>
      </c>
      <c r="U62">
        <v>0</v>
      </c>
      <c r="Y62">
        <v>8.73</v>
      </c>
      <c r="Z62">
        <v>9.66</v>
      </c>
      <c r="AA62">
        <v>3</v>
      </c>
      <c r="AG62" t="str">
        <f t="shared" si="0"/>
        <v>N</v>
      </c>
      <c r="AH62" t="str">
        <f t="shared" si="1"/>
        <v>No Catch</v>
      </c>
      <c r="AI62">
        <f t="shared" si="2"/>
        <v>0</v>
      </c>
      <c r="AJ62">
        <f t="shared" si="3"/>
        <v>0.92999999999999972</v>
      </c>
    </row>
    <row r="63" spans="1:36" x14ac:dyDescent="0.5">
      <c r="A63" s="1">
        <v>3</v>
      </c>
      <c r="B63" s="1" t="s">
        <v>192</v>
      </c>
      <c r="C63" s="1">
        <v>0</v>
      </c>
      <c r="D63" s="1">
        <v>27</v>
      </c>
      <c r="E63" s="1">
        <v>10</v>
      </c>
      <c r="F63" s="1">
        <v>4</v>
      </c>
      <c r="G63" s="13">
        <v>0.40069444444444446</v>
      </c>
      <c r="H63" s="1">
        <v>139</v>
      </c>
      <c r="I63" s="1">
        <v>62</v>
      </c>
      <c r="J63" s="1" t="s">
        <v>7</v>
      </c>
      <c r="K63" s="1">
        <v>46</v>
      </c>
      <c r="L63" s="1">
        <v>2</v>
      </c>
      <c r="M63" s="1">
        <v>7</v>
      </c>
      <c r="N63" s="1"/>
      <c r="O63" s="1" t="s">
        <v>9</v>
      </c>
      <c r="P63" t="s">
        <v>139</v>
      </c>
      <c r="Q63">
        <v>11</v>
      </c>
      <c r="R63">
        <v>8</v>
      </c>
      <c r="S63">
        <v>5</v>
      </c>
      <c r="W63">
        <v>7.74</v>
      </c>
      <c r="X63">
        <v>8.61</v>
      </c>
      <c r="AA63">
        <v>7</v>
      </c>
      <c r="AC63" t="s">
        <v>82</v>
      </c>
      <c r="AD63" t="s">
        <v>41</v>
      </c>
      <c r="AE63">
        <v>6</v>
      </c>
      <c r="AF63">
        <v>14</v>
      </c>
      <c r="AG63" t="str">
        <f t="shared" si="0"/>
        <v>Y</v>
      </c>
      <c r="AH63">
        <f t="shared" si="1"/>
        <v>1</v>
      </c>
      <c r="AI63">
        <f t="shared" si="2"/>
        <v>0.86999999999999922</v>
      </c>
      <c r="AJ63">
        <f t="shared" si="3"/>
        <v>0</v>
      </c>
    </row>
    <row r="64" spans="1:36" x14ac:dyDescent="0.5">
      <c r="A64" s="1">
        <v>3</v>
      </c>
      <c r="B64" s="1" t="s">
        <v>192</v>
      </c>
      <c r="C64" s="1">
        <v>0</v>
      </c>
      <c r="D64" s="1">
        <v>27</v>
      </c>
      <c r="E64" s="1">
        <v>10</v>
      </c>
      <c r="F64" s="1">
        <v>4</v>
      </c>
      <c r="G64" s="13">
        <v>0.375</v>
      </c>
      <c r="H64" s="1">
        <v>140</v>
      </c>
      <c r="I64" s="1">
        <v>63</v>
      </c>
      <c r="J64" s="1" t="s">
        <v>138</v>
      </c>
      <c r="K64" s="1">
        <v>47</v>
      </c>
      <c r="L64" s="1">
        <v>1</v>
      </c>
      <c r="M64" s="1">
        <v>10</v>
      </c>
      <c r="N64" s="1"/>
      <c r="O64" s="1" t="s">
        <v>136</v>
      </c>
      <c r="P64" t="s">
        <v>139</v>
      </c>
      <c r="Q64">
        <v>11</v>
      </c>
      <c r="R64">
        <v>7</v>
      </c>
      <c r="S64">
        <v>5</v>
      </c>
      <c r="T64">
        <v>1</v>
      </c>
      <c r="U64">
        <v>1</v>
      </c>
      <c r="Y64">
        <v>9.4600000000000009</v>
      </c>
      <c r="Z64">
        <v>10.77</v>
      </c>
      <c r="AA64">
        <v>4</v>
      </c>
      <c r="AG64" t="str">
        <f t="shared" si="0"/>
        <v>N</v>
      </c>
      <c r="AH64" t="str">
        <f t="shared" si="1"/>
        <v>No Catch</v>
      </c>
      <c r="AI64">
        <f t="shared" si="2"/>
        <v>0</v>
      </c>
      <c r="AJ64">
        <f t="shared" si="3"/>
        <v>1.3099999999999987</v>
      </c>
    </row>
    <row r="65" spans="1:36" x14ac:dyDescent="0.5">
      <c r="A65" s="1">
        <v>3</v>
      </c>
      <c r="B65" s="1" t="s">
        <v>192</v>
      </c>
      <c r="C65" s="1">
        <v>0</v>
      </c>
      <c r="D65" s="1">
        <v>27</v>
      </c>
      <c r="E65" s="1">
        <v>10</v>
      </c>
      <c r="F65" s="1">
        <v>4</v>
      </c>
      <c r="G65" s="13">
        <v>0.35416666666666669</v>
      </c>
      <c r="H65" s="1">
        <v>141</v>
      </c>
      <c r="I65" s="1">
        <v>64</v>
      </c>
      <c r="J65" s="1" t="s">
        <v>138</v>
      </c>
      <c r="K65" s="1">
        <v>43</v>
      </c>
      <c r="L65" s="1">
        <v>2</v>
      </c>
      <c r="M65" s="1">
        <v>6</v>
      </c>
      <c r="N65" s="1" t="s">
        <v>200</v>
      </c>
      <c r="O65" s="1" t="s">
        <v>194</v>
      </c>
      <c r="AA65">
        <v>-10</v>
      </c>
      <c r="AG65" t="str">
        <f t="shared" si="0"/>
        <v>N</v>
      </c>
      <c r="AH65" t="str">
        <f t="shared" si="1"/>
        <v>No Catch</v>
      </c>
      <c r="AI65">
        <f t="shared" si="2"/>
        <v>0</v>
      </c>
      <c r="AJ65">
        <f t="shared" si="3"/>
        <v>0</v>
      </c>
    </row>
    <row r="66" spans="1:36" x14ac:dyDescent="0.5">
      <c r="A66" s="1">
        <v>3</v>
      </c>
      <c r="B66" s="1" t="s">
        <v>192</v>
      </c>
      <c r="C66" s="1">
        <v>0</v>
      </c>
      <c r="D66" s="1">
        <v>27</v>
      </c>
      <c r="E66" s="1">
        <v>10</v>
      </c>
      <c r="F66" s="1">
        <v>4</v>
      </c>
      <c r="G66" s="13">
        <v>0.34027777777777773</v>
      </c>
      <c r="H66" s="1">
        <v>142</v>
      </c>
      <c r="I66" s="1">
        <v>65</v>
      </c>
      <c r="J66" s="1" t="s">
        <v>7</v>
      </c>
      <c r="K66" s="1">
        <v>47</v>
      </c>
      <c r="L66" s="1">
        <v>2</v>
      </c>
      <c r="M66" s="1">
        <v>16</v>
      </c>
      <c r="N66" s="1"/>
      <c r="O66" s="1" t="s">
        <v>136</v>
      </c>
      <c r="P66" t="s">
        <v>137</v>
      </c>
      <c r="Q66">
        <v>11</v>
      </c>
      <c r="R66">
        <v>6</v>
      </c>
      <c r="S66">
        <v>5</v>
      </c>
      <c r="T66">
        <v>1</v>
      </c>
      <c r="U66">
        <v>1</v>
      </c>
      <c r="Y66">
        <v>11.88</v>
      </c>
      <c r="Z66">
        <v>13.07</v>
      </c>
      <c r="AA66">
        <v>6</v>
      </c>
      <c r="AG66" t="str">
        <f t="shared" si="0"/>
        <v>N</v>
      </c>
      <c r="AH66" t="str">
        <f t="shared" si="1"/>
        <v>No Catch</v>
      </c>
      <c r="AI66">
        <f t="shared" si="2"/>
        <v>0</v>
      </c>
      <c r="AJ66">
        <f t="shared" si="3"/>
        <v>1.1899999999999995</v>
      </c>
    </row>
    <row r="67" spans="1:36" x14ac:dyDescent="0.5">
      <c r="A67" s="1">
        <v>3</v>
      </c>
      <c r="B67" s="1" t="s">
        <v>192</v>
      </c>
      <c r="C67" s="1">
        <v>0</v>
      </c>
      <c r="D67" s="1">
        <v>27</v>
      </c>
      <c r="E67" s="1">
        <v>10</v>
      </c>
      <c r="F67" s="1">
        <v>4</v>
      </c>
      <c r="G67" s="13">
        <v>0.31388888888888888</v>
      </c>
      <c r="H67" s="1">
        <v>143</v>
      </c>
      <c r="I67" s="1">
        <v>66</v>
      </c>
      <c r="J67" s="1" t="s">
        <v>138</v>
      </c>
      <c r="K67" s="1">
        <v>47</v>
      </c>
      <c r="L67" s="1">
        <v>3</v>
      </c>
      <c r="M67" s="1">
        <v>10</v>
      </c>
      <c r="N67" s="1" t="s">
        <v>201</v>
      </c>
      <c r="O67" s="1" t="s">
        <v>194</v>
      </c>
      <c r="AA67">
        <v>15</v>
      </c>
      <c r="AG67" t="str">
        <f t="shared" ref="AG67:AG76" si="4">IF(OR(($M67-$AA67) &lt;=0,$AB67 = "TD"), "Y", "N")</f>
        <v>Y</v>
      </c>
      <c r="AH67" t="str">
        <f t="shared" ref="AH67:AH76" si="5">IF($AC67="Catch",$AA67-$AE67,"No Catch")</f>
        <v>No Catch</v>
      </c>
      <c r="AI67">
        <f t="shared" ref="AI67:AI76" si="6">$X67-$W67</f>
        <v>0</v>
      </c>
      <c r="AJ67">
        <f t="shared" ref="AJ67:AJ76" si="7">$Z67-$Y67</f>
        <v>0</v>
      </c>
    </row>
    <row r="68" spans="1:36" x14ac:dyDescent="0.5">
      <c r="A68" s="1">
        <v>3</v>
      </c>
      <c r="B68" s="1" t="s">
        <v>192</v>
      </c>
      <c r="C68" s="1">
        <v>0</v>
      </c>
      <c r="D68" s="1">
        <v>27</v>
      </c>
      <c r="E68" s="1">
        <v>10</v>
      </c>
      <c r="F68" s="1">
        <v>4</v>
      </c>
      <c r="G68" s="13">
        <v>0.28888888888888892</v>
      </c>
      <c r="H68" s="1">
        <v>144</v>
      </c>
      <c r="I68" s="1">
        <v>67</v>
      </c>
      <c r="J68" s="1" t="s">
        <v>138</v>
      </c>
      <c r="K68" s="1">
        <v>32</v>
      </c>
      <c r="L68" s="1">
        <v>1</v>
      </c>
      <c r="M68" s="1">
        <v>10</v>
      </c>
      <c r="N68" s="1"/>
      <c r="O68" s="1" t="s">
        <v>136</v>
      </c>
      <c r="P68" t="s">
        <v>137</v>
      </c>
      <c r="Q68">
        <v>12</v>
      </c>
      <c r="R68">
        <v>8</v>
      </c>
      <c r="S68">
        <v>5</v>
      </c>
      <c r="T68">
        <v>33</v>
      </c>
      <c r="U68">
        <v>2</v>
      </c>
      <c r="Y68">
        <v>7.77</v>
      </c>
      <c r="Z68">
        <v>8.9</v>
      </c>
      <c r="AA68">
        <v>4</v>
      </c>
      <c r="AG68" t="str">
        <f t="shared" si="4"/>
        <v>N</v>
      </c>
      <c r="AH68" t="str">
        <f t="shared" si="5"/>
        <v>No Catch</v>
      </c>
      <c r="AI68">
        <f t="shared" si="6"/>
        <v>0</v>
      </c>
      <c r="AJ68">
        <f t="shared" si="7"/>
        <v>1.1300000000000008</v>
      </c>
    </row>
    <row r="69" spans="1:36" x14ac:dyDescent="0.5">
      <c r="A69" s="1">
        <v>3</v>
      </c>
      <c r="B69" s="1" t="s">
        <v>192</v>
      </c>
      <c r="C69" s="1">
        <v>0</v>
      </c>
      <c r="D69" s="1">
        <v>27</v>
      </c>
      <c r="E69" s="1">
        <v>10</v>
      </c>
      <c r="F69" s="1">
        <v>4</v>
      </c>
      <c r="G69" s="13">
        <v>0.27083333333333331</v>
      </c>
      <c r="H69" s="1">
        <v>145</v>
      </c>
      <c r="I69" s="1">
        <v>68</v>
      </c>
      <c r="J69" s="1" t="s">
        <v>138</v>
      </c>
      <c r="K69" s="1">
        <v>28</v>
      </c>
      <c r="L69" s="1">
        <v>2</v>
      </c>
      <c r="M69" s="1">
        <v>6</v>
      </c>
      <c r="N69" s="1"/>
      <c r="O69" s="1" t="s">
        <v>136</v>
      </c>
      <c r="P69" t="s">
        <v>139</v>
      </c>
      <c r="Q69">
        <v>12</v>
      </c>
      <c r="R69">
        <v>8</v>
      </c>
      <c r="S69">
        <v>5</v>
      </c>
      <c r="T69">
        <v>33</v>
      </c>
      <c r="U69">
        <v>1</v>
      </c>
      <c r="Y69">
        <v>5.08</v>
      </c>
      <c r="Z69">
        <v>6.83</v>
      </c>
      <c r="AA69">
        <v>4</v>
      </c>
      <c r="AG69" t="str">
        <f t="shared" si="4"/>
        <v>N</v>
      </c>
      <c r="AH69" t="str">
        <f t="shared" si="5"/>
        <v>No Catch</v>
      </c>
      <c r="AI69">
        <f t="shared" si="6"/>
        <v>0</v>
      </c>
      <c r="AJ69">
        <f t="shared" si="7"/>
        <v>1.75</v>
      </c>
    </row>
    <row r="70" spans="1:36" x14ac:dyDescent="0.5">
      <c r="A70" s="1">
        <v>3</v>
      </c>
      <c r="B70" s="1" t="s">
        <v>192</v>
      </c>
      <c r="C70" s="1">
        <v>0</v>
      </c>
      <c r="D70" s="1">
        <v>27</v>
      </c>
      <c r="E70" s="1">
        <v>10</v>
      </c>
      <c r="F70" s="1">
        <v>4</v>
      </c>
      <c r="G70" s="13">
        <v>0.24861111111111112</v>
      </c>
      <c r="H70" s="1">
        <v>146</v>
      </c>
      <c r="I70" s="1">
        <v>69</v>
      </c>
      <c r="J70" s="1" t="s">
        <v>138</v>
      </c>
      <c r="K70" s="1">
        <v>24</v>
      </c>
      <c r="L70" s="1">
        <v>3</v>
      </c>
      <c r="M70" s="1">
        <v>2</v>
      </c>
      <c r="N70" s="1"/>
      <c r="O70" s="1" t="s">
        <v>136</v>
      </c>
      <c r="P70" t="s">
        <v>137</v>
      </c>
      <c r="Q70">
        <v>12</v>
      </c>
      <c r="R70">
        <v>8</v>
      </c>
      <c r="S70">
        <v>5</v>
      </c>
      <c r="T70">
        <v>33</v>
      </c>
      <c r="U70">
        <v>0</v>
      </c>
      <c r="Y70">
        <v>9</v>
      </c>
      <c r="Z70">
        <v>9.6999999999999993</v>
      </c>
      <c r="AA70">
        <v>2</v>
      </c>
      <c r="AG70" t="str">
        <f t="shared" si="4"/>
        <v>Y</v>
      </c>
      <c r="AH70" t="str">
        <f t="shared" si="5"/>
        <v>No Catch</v>
      </c>
      <c r="AI70">
        <f t="shared" si="6"/>
        <v>0</v>
      </c>
      <c r="AJ70">
        <f t="shared" si="7"/>
        <v>0.69999999999999929</v>
      </c>
    </row>
    <row r="71" spans="1:36" x14ac:dyDescent="0.5">
      <c r="A71" s="1">
        <v>3</v>
      </c>
      <c r="B71" s="1" t="s">
        <v>192</v>
      </c>
      <c r="C71" s="1">
        <v>0</v>
      </c>
      <c r="D71" s="1">
        <v>27</v>
      </c>
      <c r="E71" s="1">
        <v>10</v>
      </c>
      <c r="F71" s="1">
        <v>4</v>
      </c>
      <c r="G71" s="13">
        <v>0.21736111111111112</v>
      </c>
      <c r="H71" s="1">
        <v>147</v>
      </c>
      <c r="I71" s="1">
        <v>70</v>
      </c>
      <c r="J71" s="1" t="s">
        <v>138</v>
      </c>
      <c r="K71" s="1">
        <v>22</v>
      </c>
      <c r="L71" s="1">
        <v>1</v>
      </c>
      <c r="M71" s="1">
        <v>10</v>
      </c>
      <c r="N71" s="1"/>
      <c r="O71" s="1" t="s">
        <v>136</v>
      </c>
      <c r="P71" t="s">
        <v>137</v>
      </c>
      <c r="Q71">
        <v>12</v>
      </c>
      <c r="R71">
        <v>8</v>
      </c>
      <c r="S71">
        <v>5</v>
      </c>
      <c r="T71">
        <v>33</v>
      </c>
      <c r="U71">
        <v>-1</v>
      </c>
      <c r="Y71">
        <v>7.5</v>
      </c>
      <c r="Z71">
        <v>8.3000000000000007</v>
      </c>
      <c r="AA71">
        <v>2</v>
      </c>
      <c r="AG71" t="str">
        <f t="shared" si="4"/>
        <v>N</v>
      </c>
      <c r="AH71" t="str">
        <f t="shared" si="5"/>
        <v>No Catch</v>
      </c>
      <c r="AI71">
        <f t="shared" si="6"/>
        <v>0</v>
      </c>
      <c r="AJ71">
        <f t="shared" si="7"/>
        <v>0.80000000000000071</v>
      </c>
    </row>
    <row r="72" spans="1:36" x14ac:dyDescent="0.5">
      <c r="A72" s="1">
        <v>3</v>
      </c>
      <c r="B72" s="1" t="s">
        <v>192</v>
      </c>
      <c r="C72" s="1">
        <v>0</v>
      </c>
      <c r="D72" s="1">
        <v>27</v>
      </c>
      <c r="E72" s="1">
        <v>10</v>
      </c>
      <c r="F72" s="1">
        <v>4</v>
      </c>
      <c r="G72" s="13">
        <v>0.19236111111111112</v>
      </c>
      <c r="H72" s="1">
        <v>148</v>
      </c>
      <c r="I72" s="1">
        <v>71</v>
      </c>
      <c r="J72" s="1" t="s">
        <v>138</v>
      </c>
      <c r="K72" s="1">
        <v>20</v>
      </c>
      <c r="L72" s="1">
        <v>2</v>
      </c>
      <c r="M72" s="1">
        <v>8</v>
      </c>
      <c r="N72" s="1"/>
      <c r="O72" s="1" t="s">
        <v>136</v>
      </c>
      <c r="P72" t="s">
        <v>137</v>
      </c>
      <c r="Q72">
        <v>11</v>
      </c>
      <c r="R72">
        <v>8</v>
      </c>
      <c r="S72">
        <v>5</v>
      </c>
      <c r="T72">
        <v>1</v>
      </c>
      <c r="U72">
        <v>-3</v>
      </c>
      <c r="Y72">
        <v>8.2899999999999991</v>
      </c>
      <c r="Z72">
        <v>8.8699999999999992</v>
      </c>
      <c r="AA72">
        <v>-4</v>
      </c>
      <c r="AB72" t="s">
        <v>198</v>
      </c>
      <c r="AG72" t="str">
        <f t="shared" si="4"/>
        <v>N</v>
      </c>
      <c r="AH72" t="str">
        <f t="shared" si="5"/>
        <v>No Catch</v>
      </c>
      <c r="AI72">
        <f t="shared" si="6"/>
        <v>0</v>
      </c>
      <c r="AJ72">
        <f t="shared" si="7"/>
        <v>0.58000000000000007</v>
      </c>
    </row>
    <row r="73" spans="1:36" x14ac:dyDescent="0.5">
      <c r="A73" s="1">
        <v>3</v>
      </c>
      <c r="B73" s="1" t="s">
        <v>192</v>
      </c>
      <c r="C73" s="1">
        <v>1</v>
      </c>
      <c r="D73" s="1">
        <v>27</v>
      </c>
      <c r="E73" s="1">
        <v>10</v>
      </c>
      <c r="F73" s="1">
        <v>4</v>
      </c>
      <c r="G73" s="13">
        <v>0.12916666666666668</v>
      </c>
      <c r="H73" s="1">
        <v>153</v>
      </c>
      <c r="I73" s="1">
        <v>72</v>
      </c>
      <c r="J73" s="1" t="s">
        <v>138</v>
      </c>
      <c r="K73" s="1">
        <v>27</v>
      </c>
      <c r="L73" s="1">
        <v>1</v>
      </c>
      <c r="M73" s="1">
        <v>10</v>
      </c>
      <c r="N73" s="1"/>
      <c r="O73" s="1" t="s">
        <v>136</v>
      </c>
      <c r="P73" t="s">
        <v>81</v>
      </c>
      <c r="Q73">
        <v>12</v>
      </c>
      <c r="R73">
        <v>8</v>
      </c>
      <c r="S73">
        <v>5</v>
      </c>
      <c r="T73">
        <v>33</v>
      </c>
      <c r="U73">
        <v>-2</v>
      </c>
      <c r="Y73">
        <v>9.23</v>
      </c>
      <c r="Z73">
        <v>11.7</v>
      </c>
      <c r="AA73">
        <v>-1</v>
      </c>
      <c r="AG73" t="str">
        <f t="shared" si="4"/>
        <v>N</v>
      </c>
      <c r="AH73" t="str">
        <f t="shared" si="5"/>
        <v>No Catch</v>
      </c>
      <c r="AI73">
        <f t="shared" si="6"/>
        <v>0</v>
      </c>
      <c r="AJ73">
        <f t="shared" si="7"/>
        <v>2.4699999999999989</v>
      </c>
    </row>
    <row r="74" spans="1:36" x14ac:dyDescent="0.5">
      <c r="A74" s="1">
        <v>3</v>
      </c>
      <c r="B74" s="1" t="s">
        <v>192</v>
      </c>
      <c r="C74" s="1">
        <v>0</v>
      </c>
      <c r="D74" s="1">
        <v>27</v>
      </c>
      <c r="E74" s="1">
        <v>10</v>
      </c>
      <c r="F74" s="1">
        <v>4</v>
      </c>
      <c r="G74" s="13">
        <v>0.11805555555555557</v>
      </c>
      <c r="H74" s="1">
        <v>154</v>
      </c>
      <c r="I74" s="1">
        <v>73</v>
      </c>
      <c r="J74" s="1" t="s">
        <v>138</v>
      </c>
      <c r="K74" s="1">
        <v>28</v>
      </c>
      <c r="L74" s="1">
        <v>2</v>
      </c>
      <c r="M74" s="1">
        <v>11</v>
      </c>
      <c r="N74" s="1"/>
      <c r="O74" s="1" t="s">
        <v>136</v>
      </c>
      <c r="P74" t="s">
        <v>137</v>
      </c>
      <c r="Q74">
        <v>11</v>
      </c>
      <c r="R74">
        <v>8</v>
      </c>
      <c r="S74">
        <v>5</v>
      </c>
      <c r="T74">
        <v>33</v>
      </c>
      <c r="U74">
        <v>0</v>
      </c>
      <c r="Y74">
        <v>4.8899999999999997</v>
      </c>
      <c r="Z74">
        <v>5.62</v>
      </c>
      <c r="AA74">
        <v>1</v>
      </c>
      <c r="AG74" t="str">
        <f t="shared" si="4"/>
        <v>N</v>
      </c>
      <c r="AH74" t="str">
        <f t="shared" si="5"/>
        <v>No Catch</v>
      </c>
      <c r="AI74">
        <f t="shared" si="6"/>
        <v>0</v>
      </c>
      <c r="AJ74">
        <f t="shared" si="7"/>
        <v>0.73000000000000043</v>
      </c>
    </row>
    <row r="75" spans="1:36" x14ac:dyDescent="0.5">
      <c r="A75" s="1">
        <v>3</v>
      </c>
      <c r="B75" s="1" t="s">
        <v>192</v>
      </c>
      <c r="C75" s="1">
        <v>0</v>
      </c>
      <c r="D75" s="1">
        <v>27</v>
      </c>
      <c r="E75" s="1">
        <v>10</v>
      </c>
      <c r="F75" s="1">
        <v>4</v>
      </c>
      <c r="G75" s="13">
        <v>9.0277777777777776E-2</v>
      </c>
      <c r="H75" s="1">
        <v>155</v>
      </c>
      <c r="I75" s="1">
        <v>74</v>
      </c>
      <c r="J75" s="1" t="s">
        <v>138</v>
      </c>
      <c r="K75" s="1">
        <v>27</v>
      </c>
      <c r="L75" s="1">
        <v>3</v>
      </c>
      <c r="M75" s="1">
        <v>10</v>
      </c>
      <c r="N75" s="1"/>
      <c r="O75" s="1" t="s">
        <v>136</v>
      </c>
      <c r="P75" t="s">
        <v>81</v>
      </c>
      <c r="Q75">
        <v>12</v>
      </c>
      <c r="R75">
        <v>8</v>
      </c>
      <c r="S75">
        <v>5</v>
      </c>
      <c r="T75">
        <v>33</v>
      </c>
      <c r="U75">
        <v>-5</v>
      </c>
      <c r="Y75">
        <v>9.5399999999999991</v>
      </c>
      <c r="Z75">
        <v>10.24</v>
      </c>
      <c r="AA75">
        <v>-2</v>
      </c>
      <c r="AG75" t="str">
        <f t="shared" si="4"/>
        <v>N</v>
      </c>
      <c r="AH75" t="str">
        <f t="shared" si="5"/>
        <v>No Catch</v>
      </c>
      <c r="AI75">
        <f t="shared" si="6"/>
        <v>0</v>
      </c>
      <c r="AJ75">
        <f t="shared" si="7"/>
        <v>0.70000000000000107</v>
      </c>
    </row>
    <row r="76" spans="1:36" x14ac:dyDescent="0.5">
      <c r="A76" s="1">
        <v>3</v>
      </c>
      <c r="B76" s="1" t="s">
        <v>192</v>
      </c>
      <c r="C76" s="1">
        <v>0</v>
      </c>
      <c r="D76" s="1">
        <v>27</v>
      </c>
      <c r="E76" s="1">
        <v>10</v>
      </c>
      <c r="F76" s="1">
        <v>4</v>
      </c>
      <c r="G76" s="13">
        <v>5.5555555555555552E-2</v>
      </c>
      <c r="H76" s="1">
        <v>156</v>
      </c>
      <c r="I76" s="1">
        <v>75</v>
      </c>
      <c r="J76" s="1" t="s">
        <v>138</v>
      </c>
      <c r="K76" s="1">
        <v>29</v>
      </c>
      <c r="L76" s="1">
        <v>4</v>
      </c>
      <c r="M76" s="1">
        <v>12</v>
      </c>
      <c r="N76" s="1"/>
      <c r="O76" s="1" t="s">
        <v>136</v>
      </c>
      <c r="P76" t="s">
        <v>139</v>
      </c>
      <c r="Q76">
        <v>12</v>
      </c>
      <c r="R76">
        <v>8</v>
      </c>
      <c r="S76">
        <v>5</v>
      </c>
      <c r="T76">
        <v>5</v>
      </c>
      <c r="U76">
        <v>10</v>
      </c>
      <c r="Y76">
        <v>31.92</v>
      </c>
      <c r="Z76">
        <v>38.450000000000003</v>
      </c>
      <c r="AA76">
        <v>11</v>
      </c>
      <c r="AG76" t="str">
        <f t="shared" si="4"/>
        <v>N</v>
      </c>
      <c r="AH76" t="str">
        <f t="shared" si="5"/>
        <v>No Catch</v>
      </c>
      <c r="AI76">
        <f t="shared" si="6"/>
        <v>0</v>
      </c>
      <c r="AJ76">
        <f t="shared" si="7"/>
        <v>6.5300000000000011</v>
      </c>
    </row>
    <row r="77" spans="1:36" x14ac:dyDescent="0.5">
      <c r="A77" s="1">
        <v>2</v>
      </c>
      <c r="B77" s="1" t="s">
        <v>202</v>
      </c>
      <c r="C77" s="1">
        <v>1</v>
      </c>
      <c r="D77" s="1">
        <v>0</v>
      </c>
      <c r="E77" s="1">
        <v>7</v>
      </c>
      <c r="F77" s="1">
        <v>1</v>
      </c>
      <c r="G77" s="13"/>
      <c r="H77" s="1">
        <v>13</v>
      </c>
      <c r="I77" s="1">
        <v>1</v>
      </c>
      <c r="J77" s="1" t="s">
        <v>7</v>
      </c>
      <c r="K77" s="1">
        <v>27</v>
      </c>
      <c r="L77" s="1">
        <v>1</v>
      </c>
      <c r="M77" s="1">
        <v>10</v>
      </c>
      <c r="N77" s="1"/>
      <c r="O77" t="s">
        <v>136</v>
      </c>
      <c r="P77" t="s">
        <v>137</v>
      </c>
      <c r="Q77">
        <v>11</v>
      </c>
      <c r="R77">
        <v>8</v>
      </c>
      <c r="S77">
        <v>5</v>
      </c>
      <c r="T77">
        <v>33</v>
      </c>
      <c r="U77">
        <v>-3</v>
      </c>
      <c r="Y77">
        <v>11.81</v>
      </c>
      <c r="Z77">
        <v>12.29</v>
      </c>
      <c r="AA77">
        <v>-2</v>
      </c>
      <c r="AG77" t="str">
        <f>IF(OR(($M77-$AA77) &lt;=0,$AB77 = "TD"), "Y", "N")</f>
        <v>N</v>
      </c>
      <c r="AH77" t="str">
        <f>IF($AC77="Catch",$AA77-$AE77,"No Catch")</f>
        <v>No Catch</v>
      </c>
      <c r="AI77">
        <f>$X77-$W77</f>
        <v>0</v>
      </c>
      <c r="AJ77">
        <f>$Z77-$Y77</f>
        <v>0.47999999999999865</v>
      </c>
    </row>
    <row r="78" spans="1:36" x14ac:dyDescent="0.5">
      <c r="A78" s="1">
        <v>2</v>
      </c>
      <c r="B78" s="1" t="s">
        <v>202</v>
      </c>
      <c r="C78" s="1">
        <v>0</v>
      </c>
      <c r="D78" s="1">
        <v>0</v>
      </c>
      <c r="E78" s="1">
        <v>7</v>
      </c>
      <c r="F78" s="1">
        <v>1</v>
      </c>
      <c r="G78" s="13"/>
      <c r="H78" s="1">
        <v>14</v>
      </c>
      <c r="I78" s="1">
        <v>2</v>
      </c>
      <c r="J78" s="1" t="s">
        <v>7</v>
      </c>
      <c r="K78" s="1">
        <v>25</v>
      </c>
      <c r="L78" s="1">
        <v>2</v>
      </c>
      <c r="M78" s="1">
        <v>12</v>
      </c>
      <c r="N78" s="1"/>
      <c r="O78" t="s">
        <v>9</v>
      </c>
      <c r="P78" t="s">
        <v>81</v>
      </c>
      <c r="Q78">
        <v>11</v>
      </c>
      <c r="R78">
        <v>7</v>
      </c>
      <c r="S78">
        <v>5</v>
      </c>
      <c r="W78">
        <v>9.07</v>
      </c>
      <c r="X78">
        <v>11.68</v>
      </c>
      <c r="AA78">
        <v>0</v>
      </c>
      <c r="AC78" t="s">
        <v>193</v>
      </c>
      <c r="AD78" t="s">
        <v>37</v>
      </c>
      <c r="AE78">
        <v>1</v>
      </c>
      <c r="AF78">
        <v>84</v>
      </c>
      <c r="AG78" t="str">
        <f t="shared" ref="AG78:AG141" si="8">IF(OR(($M78-$AA78) &lt;=0,$AB78 = "TD"), "Y", "N")</f>
        <v>N</v>
      </c>
      <c r="AH78" t="str">
        <f t="shared" ref="AH78:AH141" si="9">IF($AC78="Catch",$AA78-$AE78,"No Catch")</f>
        <v>No Catch</v>
      </c>
      <c r="AI78">
        <f t="shared" ref="AI78:AI141" si="10">$X78-$W78</f>
        <v>2.6099999999999994</v>
      </c>
      <c r="AJ78">
        <f t="shared" ref="AJ78:AJ141" si="11">$Z78-$Y78</f>
        <v>0</v>
      </c>
    </row>
    <row r="79" spans="1:36" x14ac:dyDescent="0.5">
      <c r="A79" s="1">
        <v>2</v>
      </c>
      <c r="B79" s="1" t="s">
        <v>202</v>
      </c>
      <c r="C79" s="1">
        <v>0</v>
      </c>
      <c r="D79" s="1">
        <v>0</v>
      </c>
      <c r="E79" s="1">
        <v>7</v>
      </c>
      <c r="F79" s="1">
        <v>1</v>
      </c>
      <c r="G79" s="13"/>
      <c r="H79" s="1">
        <v>15</v>
      </c>
      <c r="I79" s="1">
        <v>3</v>
      </c>
      <c r="J79" s="1" t="s">
        <v>7</v>
      </c>
      <c r="K79" s="1">
        <v>25</v>
      </c>
      <c r="L79" s="1">
        <v>3</v>
      </c>
      <c r="M79" s="1">
        <v>12</v>
      </c>
      <c r="N79" s="1"/>
      <c r="O79" t="s">
        <v>141</v>
      </c>
      <c r="P79" t="s">
        <v>137</v>
      </c>
      <c r="Q79">
        <v>11</v>
      </c>
      <c r="R79">
        <v>7</v>
      </c>
      <c r="S79">
        <v>5</v>
      </c>
      <c r="AA79">
        <v>2</v>
      </c>
      <c r="AG79" t="str">
        <f t="shared" si="8"/>
        <v>N</v>
      </c>
      <c r="AH79" t="str">
        <f t="shared" si="9"/>
        <v>No Catch</v>
      </c>
      <c r="AI79">
        <f t="shared" si="10"/>
        <v>0</v>
      </c>
      <c r="AJ79">
        <f t="shared" si="11"/>
        <v>0</v>
      </c>
    </row>
    <row r="80" spans="1:36" x14ac:dyDescent="0.5">
      <c r="A80" s="1">
        <v>2</v>
      </c>
      <c r="B80" s="1" t="s">
        <v>202</v>
      </c>
      <c r="C80" s="1">
        <v>1</v>
      </c>
      <c r="D80" s="1">
        <v>0</v>
      </c>
      <c r="E80" s="1">
        <v>14</v>
      </c>
      <c r="F80" s="1">
        <v>1</v>
      </c>
      <c r="G80" s="13"/>
      <c r="H80" s="1">
        <v>29</v>
      </c>
      <c r="I80" s="1">
        <v>4</v>
      </c>
      <c r="J80" s="1" t="s">
        <v>7</v>
      </c>
      <c r="K80" s="1">
        <v>42</v>
      </c>
      <c r="L80" s="1">
        <v>1</v>
      </c>
      <c r="M80" s="1">
        <v>10</v>
      </c>
      <c r="N80" s="1"/>
      <c r="O80" t="s">
        <v>9</v>
      </c>
      <c r="P80" t="s">
        <v>81</v>
      </c>
      <c r="Q80">
        <v>11</v>
      </c>
      <c r="R80">
        <v>6</v>
      </c>
      <c r="S80">
        <v>5</v>
      </c>
      <c r="W80">
        <v>9.92</v>
      </c>
      <c r="X80">
        <v>16.41</v>
      </c>
      <c r="AA80">
        <v>5</v>
      </c>
      <c r="AC80" t="s">
        <v>82</v>
      </c>
      <c r="AD80" t="s">
        <v>41</v>
      </c>
      <c r="AE80">
        <v>5</v>
      </c>
      <c r="AF80">
        <v>14</v>
      </c>
      <c r="AG80" t="str">
        <f t="shared" si="8"/>
        <v>N</v>
      </c>
      <c r="AH80">
        <f t="shared" si="9"/>
        <v>0</v>
      </c>
      <c r="AI80">
        <f t="shared" si="10"/>
        <v>6.49</v>
      </c>
      <c r="AJ80">
        <f t="shared" si="11"/>
        <v>0</v>
      </c>
    </row>
    <row r="81" spans="1:36" x14ac:dyDescent="0.5">
      <c r="A81" s="1">
        <v>2</v>
      </c>
      <c r="B81" s="1" t="s">
        <v>202</v>
      </c>
      <c r="C81" s="1">
        <v>0</v>
      </c>
      <c r="D81" s="1">
        <v>0</v>
      </c>
      <c r="E81" s="1">
        <v>14</v>
      </c>
      <c r="F81" s="1">
        <v>1</v>
      </c>
      <c r="G81" s="13"/>
      <c r="H81" s="1">
        <v>30</v>
      </c>
      <c r="I81" s="1">
        <v>5</v>
      </c>
      <c r="J81" s="1" t="s">
        <v>7</v>
      </c>
      <c r="K81" s="1">
        <v>47</v>
      </c>
      <c r="L81" s="1">
        <v>2</v>
      </c>
      <c r="M81" s="1">
        <v>5</v>
      </c>
      <c r="N81" s="1"/>
      <c r="O81" t="s">
        <v>9</v>
      </c>
      <c r="P81" t="s">
        <v>81</v>
      </c>
      <c r="Q81">
        <v>12</v>
      </c>
      <c r="R81">
        <v>7</v>
      </c>
      <c r="S81">
        <v>5</v>
      </c>
      <c r="W81">
        <v>6.5</v>
      </c>
      <c r="X81">
        <v>10.51</v>
      </c>
      <c r="AA81">
        <v>2</v>
      </c>
      <c r="AC81" t="s">
        <v>82</v>
      </c>
      <c r="AD81" t="s">
        <v>37</v>
      </c>
      <c r="AE81">
        <v>2</v>
      </c>
      <c r="AF81">
        <v>14</v>
      </c>
      <c r="AG81" t="str">
        <f t="shared" si="8"/>
        <v>N</v>
      </c>
      <c r="AH81">
        <f t="shared" si="9"/>
        <v>0</v>
      </c>
      <c r="AI81">
        <f t="shared" si="10"/>
        <v>4.01</v>
      </c>
      <c r="AJ81">
        <f t="shared" si="11"/>
        <v>0</v>
      </c>
    </row>
    <row r="82" spans="1:36" x14ac:dyDescent="0.5">
      <c r="A82" s="1">
        <v>2</v>
      </c>
      <c r="B82" s="1" t="s">
        <v>202</v>
      </c>
      <c r="C82" s="1">
        <v>0</v>
      </c>
      <c r="D82" s="1">
        <v>0</v>
      </c>
      <c r="E82" s="1">
        <v>14</v>
      </c>
      <c r="F82" s="1">
        <v>1</v>
      </c>
      <c r="G82" s="13"/>
      <c r="H82" s="1">
        <v>31</v>
      </c>
      <c r="I82" s="1">
        <v>6</v>
      </c>
      <c r="J82" s="1" t="s">
        <v>7</v>
      </c>
      <c r="K82" s="1">
        <v>49</v>
      </c>
      <c r="L82" s="1">
        <v>3</v>
      </c>
      <c r="M82" s="1">
        <v>3</v>
      </c>
      <c r="N82" s="1"/>
      <c r="O82" t="s">
        <v>136</v>
      </c>
      <c r="P82" t="s">
        <v>137</v>
      </c>
      <c r="Q82">
        <v>12</v>
      </c>
      <c r="R82">
        <v>7</v>
      </c>
      <c r="S82">
        <v>5</v>
      </c>
      <c r="T82">
        <v>1</v>
      </c>
      <c r="U82">
        <v>1</v>
      </c>
      <c r="Y82">
        <v>6.43</v>
      </c>
      <c r="Z82">
        <v>7.37</v>
      </c>
      <c r="AA82">
        <v>1</v>
      </c>
      <c r="AG82" t="str">
        <f t="shared" si="8"/>
        <v>N</v>
      </c>
      <c r="AH82" t="str">
        <f t="shared" si="9"/>
        <v>No Catch</v>
      </c>
      <c r="AI82">
        <f t="shared" si="10"/>
        <v>0</v>
      </c>
      <c r="AJ82">
        <f t="shared" si="11"/>
        <v>0.94000000000000039</v>
      </c>
    </row>
    <row r="83" spans="1:36" x14ac:dyDescent="0.5">
      <c r="A83" s="1">
        <v>2</v>
      </c>
      <c r="B83" s="1" t="s">
        <v>202</v>
      </c>
      <c r="C83" s="1">
        <v>1</v>
      </c>
      <c r="D83" s="1">
        <v>0</v>
      </c>
      <c r="E83" s="1">
        <v>14</v>
      </c>
      <c r="F83" s="1">
        <v>1</v>
      </c>
      <c r="G83" s="13"/>
      <c r="H83" s="1">
        <v>36</v>
      </c>
      <c r="I83" s="1">
        <v>7</v>
      </c>
      <c r="J83" s="1" t="s">
        <v>7</v>
      </c>
      <c r="K83" s="1">
        <v>46</v>
      </c>
      <c r="L83" s="1">
        <v>1</v>
      </c>
      <c r="M83" s="1">
        <v>10</v>
      </c>
      <c r="N83" s="1"/>
      <c r="O83" t="s">
        <v>9</v>
      </c>
      <c r="P83" t="s">
        <v>81</v>
      </c>
      <c r="Q83">
        <v>11</v>
      </c>
      <c r="R83">
        <v>6</v>
      </c>
      <c r="S83">
        <v>5</v>
      </c>
      <c r="W83">
        <v>11.75</v>
      </c>
      <c r="X83">
        <v>13.85</v>
      </c>
      <c r="AA83">
        <v>54</v>
      </c>
      <c r="AB83" t="s">
        <v>28</v>
      </c>
      <c r="AC83" t="s">
        <v>82</v>
      </c>
      <c r="AD83" t="s">
        <v>41</v>
      </c>
      <c r="AE83">
        <v>23</v>
      </c>
      <c r="AF83">
        <v>14</v>
      </c>
      <c r="AG83" t="str">
        <f t="shared" si="8"/>
        <v>Y</v>
      </c>
      <c r="AH83">
        <f t="shared" si="9"/>
        <v>31</v>
      </c>
      <c r="AI83">
        <f t="shared" si="10"/>
        <v>2.0999999999999996</v>
      </c>
      <c r="AJ83">
        <f t="shared" si="11"/>
        <v>0</v>
      </c>
    </row>
    <row r="84" spans="1:36" x14ac:dyDescent="0.5">
      <c r="A84" s="1">
        <v>2</v>
      </c>
      <c r="B84" s="1" t="s">
        <v>202</v>
      </c>
      <c r="C84" s="1">
        <v>1</v>
      </c>
      <c r="D84" s="1">
        <v>7</v>
      </c>
      <c r="E84" s="1">
        <v>14</v>
      </c>
      <c r="F84" s="1">
        <v>1</v>
      </c>
      <c r="G84" s="13"/>
      <c r="H84" s="1">
        <v>45</v>
      </c>
      <c r="I84" s="1">
        <v>8</v>
      </c>
      <c r="J84" s="1" t="s">
        <v>138</v>
      </c>
      <c r="K84" s="1">
        <v>44</v>
      </c>
      <c r="L84" s="1">
        <v>1</v>
      </c>
      <c r="M84" s="1">
        <v>10</v>
      </c>
      <c r="N84" s="1" t="s">
        <v>200</v>
      </c>
      <c r="O84" t="s">
        <v>194</v>
      </c>
      <c r="AA84">
        <v>-10</v>
      </c>
      <c r="AG84" t="str">
        <f t="shared" si="8"/>
        <v>N</v>
      </c>
      <c r="AH84" t="str">
        <f t="shared" si="9"/>
        <v>No Catch</v>
      </c>
      <c r="AI84">
        <f t="shared" si="10"/>
        <v>0</v>
      </c>
      <c r="AJ84">
        <f t="shared" si="11"/>
        <v>0</v>
      </c>
    </row>
    <row r="85" spans="1:36" x14ac:dyDescent="0.5">
      <c r="A85" s="1">
        <v>2</v>
      </c>
      <c r="B85" s="1" t="s">
        <v>202</v>
      </c>
      <c r="C85" s="1">
        <v>0</v>
      </c>
      <c r="D85" s="1">
        <v>7</v>
      </c>
      <c r="E85" s="1">
        <v>14</v>
      </c>
      <c r="F85" s="1">
        <v>1</v>
      </c>
      <c r="G85" s="13"/>
      <c r="H85" s="1">
        <v>47</v>
      </c>
      <c r="I85" s="1">
        <v>9</v>
      </c>
      <c r="J85" s="1" t="s">
        <v>7</v>
      </c>
      <c r="K85" s="1">
        <v>46</v>
      </c>
      <c r="L85" s="1">
        <v>1</v>
      </c>
      <c r="M85" s="1">
        <v>20</v>
      </c>
      <c r="N85" s="1"/>
      <c r="O85" t="s">
        <v>9</v>
      </c>
      <c r="P85" t="s">
        <v>81</v>
      </c>
      <c r="Q85">
        <v>11</v>
      </c>
      <c r="R85">
        <v>8</v>
      </c>
      <c r="S85">
        <v>5</v>
      </c>
      <c r="W85">
        <v>9.66</v>
      </c>
      <c r="X85">
        <v>11.82</v>
      </c>
      <c r="AA85">
        <v>15</v>
      </c>
      <c r="AC85" t="s">
        <v>82</v>
      </c>
      <c r="AD85" t="s">
        <v>41</v>
      </c>
      <c r="AE85">
        <v>11</v>
      </c>
      <c r="AF85">
        <v>6</v>
      </c>
      <c r="AG85" t="str">
        <f t="shared" si="8"/>
        <v>N</v>
      </c>
      <c r="AH85">
        <f t="shared" si="9"/>
        <v>4</v>
      </c>
      <c r="AI85">
        <f t="shared" si="10"/>
        <v>2.16</v>
      </c>
      <c r="AJ85">
        <f t="shared" si="11"/>
        <v>0</v>
      </c>
    </row>
    <row r="86" spans="1:36" x14ac:dyDescent="0.5">
      <c r="A86" s="1">
        <v>2</v>
      </c>
      <c r="B86" s="1" t="s">
        <v>202</v>
      </c>
      <c r="C86" s="1">
        <v>0</v>
      </c>
      <c r="D86" s="1">
        <v>7</v>
      </c>
      <c r="E86" s="1">
        <v>14</v>
      </c>
      <c r="F86" s="1">
        <v>1</v>
      </c>
      <c r="G86" s="13"/>
      <c r="H86" s="1">
        <v>48</v>
      </c>
      <c r="I86" s="1">
        <v>10</v>
      </c>
      <c r="J86" s="1" t="s">
        <v>138</v>
      </c>
      <c r="K86" s="1">
        <v>39</v>
      </c>
      <c r="L86" s="1">
        <v>2</v>
      </c>
      <c r="M86" s="1">
        <v>5</v>
      </c>
      <c r="N86" s="1"/>
      <c r="O86" t="s">
        <v>136</v>
      </c>
      <c r="P86" t="s">
        <v>139</v>
      </c>
      <c r="Q86">
        <v>11</v>
      </c>
      <c r="R86">
        <v>7</v>
      </c>
      <c r="S86">
        <v>5</v>
      </c>
      <c r="T86">
        <v>1</v>
      </c>
      <c r="U86">
        <v>1</v>
      </c>
      <c r="Y86">
        <v>11.09</v>
      </c>
      <c r="Z86">
        <v>14.04</v>
      </c>
      <c r="AA86">
        <v>1</v>
      </c>
      <c r="AG86" t="str">
        <f t="shared" si="8"/>
        <v>N</v>
      </c>
      <c r="AH86" t="str">
        <f t="shared" si="9"/>
        <v>No Catch</v>
      </c>
      <c r="AI86">
        <f t="shared" si="10"/>
        <v>0</v>
      </c>
      <c r="AJ86">
        <f t="shared" si="11"/>
        <v>2.9499999999999993</v>
      </c>
    </row>
    <row r="87" spans="1:36" x14ac:dyDescent="0.5">
      <c r="A87" s="1">
        <v>2</v>
      </c>
      <c r="B87" s="1" t="s">
        <v>202</v>
      </c>
      <c r="C87" s="1">
        <v>0</v>
      </c>
      <c r="D87" s="1">
        <v>7</v>
      </c>
      <c r="E87" s="1">
        <v>14</v>
      </c>
      <c r="F87" s="1">
        <v>1</v>
      </c>
      <c r="G87" s="13"/>
      <c r="H87" s="1">
        <v>49</v>
      </c>
      <c r="I87" s="1">
        <v>11</v>
      </c>
      <c r="J87" s="1" t="s">
        <v>138</v>
      </c>
      <c r="K87" s="1">
        <v>38</v>
      </c>
      <c r="L87" s="1">
        <v>3</v>
      </c>
      <c r="M87" s="1">
        <v>4</v>
      </c>
      <c r="N87" s="1"/>
      <c r="O87" t="s">
        <v>9</v>
      </c>
      <c r="P87" t="s">
        <v>81</v>
      </c>
      <c r="Q87">
        <v>11</v>
      </c>
      <c r="R87">
        <v>8</v>
      </c>
      <c r="S87">
        <v>5</v>
      </c>
      <c r="W87">
        <v>18.03</v>
      </c>
      <c r="X87">
        <v>20.149999999999999</v>
      </c>
      <c r="AA87">
        <v>22</v>
      </c>
      <c r="AC87" t="s">
        <v>82</v>
      </c>
      <c r="AD87" t="s">
        <v>203</v>
      </c>
      <c r="AE87">
        <v>22</v>
      </c>
      <c r="AF87">
        <v>6</v>
      </c>
      <c r="AG87" t="str">
        <f t="shared" si="8"/>
        <v>Y</v>
      </c>
      <c r="AH87">
        <f t="shared" si="9"/>
        <v>0</v>
      </c>
      <c r="AI87">
        <f t="shared" si="10"/>
        <v>2.1199999999999974</v>
      </c>
      <c r="AJ87">
        <f t="shared" si="11"/>
        <v>0</v>
      </c>
    </row>
    <row r="88" spans="1:36" x14ac:dyDescent="0.5">
      <c r="A88" s="1">
        <v>2</v>
      </c>
      <c r="B88" s="1" t="s">
        <v>202</v>
      </c>
      <c r="C88" s="1">
        <v>0</v>
      </c>
      <c r="D88" s="1">
        <v>7</v>
      </c>
      <c r="E88" s="1">
        <v>14</v>
      </c>
      <c r="F88" s="1">
        <v>1</v>
      </c>
      <c r="G88" s="13"/>
      <c r="H88" s="1">
        <v>50</v>
      </c>
      <c r="I88" s="1">
        <v>12</v>
      </c>
      <c r="J88" s="1" t="s">
        <v>138</v>
      </c>
      <c r="K88" s="1">
        <v>16</v>
      </c>
      <c r="L88" s="1">
        <v>1</v>
      </c>
      <c r="M88" s="1">
        <v>10</v>
      </c>
      <c r="N88" s="1"/>
      <c r="O88" t="s">
        <v>136</v>
      </c>
      <c r="P88" t="s">
        <v>81</v>
      </c>
      <c r="Q88">
        <v>11</v>
      </c>
      <c r="R88">
        <v>8</v>
      </c>
      <c r="S88">
        <v>5</v>
      </c>
      <c r="T88">
        <v>33</v>
      </c>
      <c r="U88">
        <v>-1</v>
      </c>
      <c r="V88">
        <v>1</v>
      </c>
      <c r="Y88">
        <v>5.12</v>
      </c>
      <c r="Z88">
        <v>6.21</v>
      </c>
      <c r="AA88">
        <v>16</v>
      </c>
      <c r="AB88" t="s">
        <v>28</v>
      </c>
      <c r="AG88" t="str">
        <f t="shared" si="8"/>
        <v>Y</v>
      </c>
      <c r="AH88" t="str">
        <f t="shared" si="9"/>
        <v>No Catch</v>
      </c>
      <c r="AI88">
        <f t="shared" si="10"/>
        <v>0</v>
      </c>
      <c r="AJ88">
        <f t="shared" si="11"/>
        <v>1.0899999999999999</v>
      </c>
    </row>
    <row r="89" spans="1:36" x14ac:dyDescent="0.5">
      <c r="A89" s="1">
        <v>2</v>
      </c>
      <c r="B89" s="1" t="s">
        <v>202</v>
      </c>
      <c r="C89" s="1">
        <v>1</v>
      </c>
      <c r="D89" s="1">
        <v>14</v>
      </c>
      <c r="E89" s="1">
        <v>14</v>
      </c>
      <c r="F89" s="1">
        <v>2</v>
      </c>
      <c r="G89" s="13"/>
      <c r="H89" s="1">
        <v>57</v>
      </c>
      <c r="I89" s="1">
        <v>13</v>
      </c>
      <c r="J89" s="1" t="s">
        <v>138</v>
      </c>
      <c r="K89" s="1">
        <v>22</v>
      </c>
      <c r="L89" s="1">
        <v>1</v>
      </c>
      <c r="M89" s="1">
        <v>10</v>
      </c>
      <c r="N89" s="1"/>
      <c r="O89" t="s">
        <v>136</v>
      </c>
      <c r="P89" t="s">
        <v>81</v>
      </c>
      <c r="Q89">
        <v>11</v>
      </c>
      <c r="R89">
        <v>7</v>
      </c>
      <c r="S89">
        <v>5</v>
      </c>
      <c r="T89">
        <v>1</v>
      </c>
      <c r="U89">
        <v>-1</v>
      </c>
      <c r="Y89">
        <v>8.81</v>
      </c>
      <c r="Z89">
        <v>11.14</v>
      </c>
      <c r="AA89">
        <v>4</v>
      </c>
      <c r="AG89" t="str">
        <f t="shared" si="8"/>
        <v>N</v>
      </c>
      <c r="AH89" t="str">
        <f t="shared" si="9"/>
        <v>No Catch</v>
      </c>
      <c r="AI89">
        <f t="shared" si="10"/>
        <v>0</v>
      </c>
      <c r="AJ89">
        <f t="shared" si="11"/>
        <v>2.33</v>
      </c>
    </row>
    <row r="90" spans="1:36" x14ac:dyDescent="0.5">
      <c r="A90" s="1">
        <v>2</v>
      </c>
      <c r="B90" s="1" t="s">
        <v>202</v>
      </c>
      <c r="C90" s="1">
        <v>0</v>
      </c>
      <c r="D90" s="1">
        <v>14</v>
      </c>
      <c r="E90" s="1">
        <v>14</v>
      </c>
      <c r="F90" s="1">
        <v>2</v>
      </c>
      <c r="G90" s="13"/>
      <c r="H90" s="1">
        <v>58</v>
      </c>
      <c r="I90" s="1">
        <v>14</v>
      </c>
      <c r="J90" s="1" t="s">
        <v>138</v>
      </c>
      <c r="K90" s="1">
        <v>18</v>
      </c>
      <c r="L90" s="1">
        <v>2</v>
      </c>
      <c r="M90" s="1">
        <v>6</v>
      </c>
      <c r="N90" s="1"/>
      <c r="O90" t="s">
        <v>9</v>
      </c>
      <c r="P90" t="s">
        <v>139</v>
      </c>
      <c r="Q90">
        <v>11</v>
      </c>
      <c r="R90">
        <v>7</v>
      </c>
      <c r="S90">
        <v>5</v>
      </c>
      <c r="W90">
        <v>9.2899999999999991</v>
      </c>
      <c r="X90">
        <v>11.21</v>
      </c>
      <c r="AA90">
        <v>18</v>
      </c>
      <c r="AB90" t="s">
        <v>28</v>
      </c>
      <c r="AC90" t="s">
        <v>82</v>
      </c>
      <c r="AD90" t="s">
        <v>41</v>
      </c>
      <c r="AE90">
        <v>18</v>
      </c>
      <c r="AF90">
        <v>4</v>
      </c>
      <c r="AG90" t="str">
        <f t="shared" si="8"/>
        <v>Y</v>
      </c>
      <c r="AH90">
        <f t="shared" si="9"/>
        <v>0</v>
      </c>
      <c r="AI90">
        <f t="shared" si="10"/>
        <v>1.9200000000000017</v>
      </c>
      <c r="AJ90">
        <f t="shared" si="11"/>
        <v>0</v>
      </c>
    </row>
    <row r="91" spans="1:36" x14ac:dyDescent="0.5">
      <c r="A91" s="1">
        <v>2</v>
      </c>
      <c r="B91" s="1" t="s">
        <v>202</v>
      </c>
      <c r="C91" s="1">
        <v>1</v>
      </c>
      <c r="D91" s="1">
        <v>21</v>
      </c>
      <c r="E91" s="1">
        <v>21</v>
      </c>
      <c r="F91" s="1">
        <v>2</v>
      </c>
      <c r="G91" s="13"/>
      <c r="H91" s="1">
        <v>78</v>
      </c>
      <c r="I91" s="1">
        <v>15</v>
      </c>
      <c r="J91" s="1" t="s">
        <v>7</v>
      </c>
      <c r="K91" s="1">
        <v>29</v>
      </c>
      <c r="L91" s="1">
        <v>1</v>
      </c>
      <c r="M91" s="1">
        <v>10</v>
      </c>
      <c r="N91" s="1"/>
      <c r="O91" t="s">
        <v>136</v>
      </c>
      <c r="P91" t="s">
        <v>137</v>
      </c>
      <c r="Q91">
        <v>11</v>
      </c>
      <c r="R91">
        <v>7</v>
      </c>
      <c r="S91">
        <v>5</v>
      </c>
      <c r="T91">
        <v>33</v>
      </c>
      <c r="U91">
        <v>-2</v>
      </c>
      <c r="V91">
        <v>1</v>
      </c>
      <c r="Y91">
        <v>9.1300000000000008</v>
      </c>
      <c r="Z91">
        <v>9.68</v>
      </c>
      <c r="AA91">
        <v>1</v>
      </c>
      <c r="AG91" t="str">
        <f t="shared" si="8"/>
        <v>N</v>
      </c>
      <c r="AH91" t="str">
        <f t="shared" si="9"/>
        <v>No Catch</v>
      </c>
      <c r="AI91">
        <f t="shared" si="10"/>
        <v>0</v>
      </c>
      <c r="AJ91">
        <f t="shared" si="11"/>
        <v>0.54999999999999893</v>
      </c>
    </row>
    <row r="92" spans="1:36" x14ac:dyDescent="0.5">
      <c r="A92" s="1">
        <v>2</v>
      </c>
      <c r="B92" s="1" t="s">
        <v>202</v>
      </c>
      <c r="C92" s="1">
        <v>0</v>
      </c>
      <c r="D92" s="1">
        <v>21</v>
      </c>
      <c r="E92" s="1">
        <v>21</v>
      </c>
      <c r="F92" s="1">
        <v>2</v>
      </c>
      <c r="G92" s="13"/>
      <c r="H92" s="1">
        <v>79</v>
      </c>
      <c r="I92" s="1">
        <v>16</v>
      </c>
      <c r="J92" s="1" t="s">
        <v>7</v>
      </c>
      <c r="K92" s="1">
        <v>30</v>
      </c>
      <c r="L92" s="1">
        <v>2</v>
      </c>
      <c r="M92" s="1">
        <v>9</v>
      </c>
      <c r="N92" s="1"/>
      <c r="O92" t="s">
        <v>9</v>
      </c>
      <c r="Q92">
        <v>11</v>
      </c>
      <c r="R92">
        <v>7</v>
      </c>
      <c r="S92">
        <v>5</v>
      </c>
      <c r="W92">
        <v>10.59</v>
      </c>
      <c r="X92">
        <v>14.11</v>
      </c>
      <c r="AA92">
        <v>0</v>
      </c>
      <c r="AC92" t="s">
        <v>193</v>
      </c>
      <c r="AD92" t="s">
        <v>197</v>
      </c>
      <c r="AG92" t="str">
        <f t="shared" si="8"/>
        <v>N</v>
      </c>
      <c r="AH92" t="str">
        <f t="shared" si="9"/>
        <v>No Catch</v>
      </c>
      <c r="AI92">
        <f t="shared" si="10"/>
        <v>3.5199999999999996</v>
      </c>
      <c r="AJ92">
        <f t="shared" si="11"/>
        <v>0</v>
      </c>
    </row>
    <row r="93" spans="1:36" x14ac:dyDescent="0.5">
      <c r="A93" s="1">
        <v>2</v>
      </c>
      <c r="B93" s="1" t="s">
        <v>202</v>
      </c>
      <c r="C93" s="1">
        <v>0</v>
      </c>
      <c r="D93" s="1">
        <v>21</v>
      </c>
      <c r="E93" s="1">
        <v>21</v>
      </c>
      <c r="F93" s="1">
        <v>2</v>
      </c>
      <c r="G93" s="13"/>
      <c r="H93" s="1">
        <v>80</v>
      </c>
      <c r="I93" s="1">
        <v>17</v>
      </c>
      <c r="J93" s="1" t="s">
        <v>7</v>
      </c>
      <c r="K93" s="1">
        <v>31</v>
      </c>
      <c r="L93" s="1">
        <v>3</v>
      </c>
      <c r="M93" s="1">
        <v>9</v>
      </c>
      <c r="N93" s="1"/>
      <c r="O93" t="s">
        <v>9</v>
      </c>
      <c r="P93" t="s">
        <v>139</v>
      </c>
      <c r="Q93">
        <v>11</v>
      </c>
      <c r="R93">
        <v>7</v>
      </c>
      <c r="S93">
        <v>5</v>
      </c>
      <c r="W93">
        <v>6.85</v>
      </c>
      <c r="X93">
        <v>8.92</v>
      </c>
      <c r="AA93">
        <v>0</v>
      </c>
      <c r="AC93" t="s">
        <v>193</v>
      </c>
      <c r="AD93" t="s">
        <v>40</v>
      </c>
      <c r="AE93">
        <v>15</v>
      </c>
      <c r="AF93">
        <v>82</v>
      </c>
      <c r="AG93" t="str">
        <f t="shared" si="8"/>
        <v>N</v>
      </c>
      <c r="AH93" t="str">
        <f t="shared" si="9"/>
        <v>No Catch</v>
      </c>
      <c r="AI93">
        <f t="shared" si="10"/>
        <v>2.0700000000000003</v>
      </c>
      <c r="AJ93">
        <f t="shared" si="11"/>
        <v>0</v>
      </c>
    </row>
    <row r="94" spans="1:36" x14ac:dyDescent="0.5">
      <c r="A94" s="1">
        <v>2</v>
      </c>
      <c r="B94" s="1" t="s">
        <v>202</v>
      </c>
      <c r="C94" s="1">
        <v>1</v>
      </c>
      <c r="D94" s="1">
        <v>21</v>
      </c>
      <c r="E94" s="1">
        <v>28</v>
      </c>
      <c r="F94" s="1">
        <v>2</v>
      </c>
      <c r="G94" s="13"/>
      <c r="H94" s="1">
        <v>94</v>
      </c>
      <c r="I94" s="1">
        <v>18</v>
      </c>
      <c r="J94" s="1" t="s">
        <v>7</v>
      </c>
      <c r="K94" s="1">
        <v>26</v>
      </c>
      <c r="L94" s="1">
        <v>1</v>
      </c>
      <c r="M94" s="1">
        <v>10</v>
      </c>
      <c r="N94" s="1"/>
      <c r="O94" t="s">
        <v>9</v>
      </c>
      <c r="P94" t="s">
        <v>137</v>
      </c>
      <c r="Q94">
        <v>11</v>
      </c>
      <c r="R94">
        <v>6</v>
      </c>
      <c r="S94">
        <v>5</v>
      </c>
      <c r="W94">
        <v>7.91</v>
      </c>
      <c r="X94">
        <v>9.57</v>
      </c>
      <c r="AA94">
        <v>0</v>
      </c>
      <c r="AC94" t="s">
        <v>193</v>
      </c>
      <c r="AD94" t="s">
        <v>41</v>
      </c>
      <c r="AE94">
        <v>6</v>
      </c>
      <c r="AF94">
        <v>14</v>
      </c>
      <c r="AG94" t="str">
        <f t="shared" si="8"/>
        <v>N</v>
      </c>
      <c r="AH94" t="str">
        <f t="shared" si="9"/>
        <v>No Catch</v>
      </c>
      <c r="AI94">
        <f t="shared" si="10"/>
        <v>1.6600000000000001</v>
      </c>
      <c r="AJ94">
        <f t="shared" si="11"/>
        <v>0</v>
      </c>
    </row>
    <row r="95" spans="1:36" x14ac:dyDescent="0.5">
      <c r="A95" s="1">
        <v>2</v>
      </c>
      <c r="B95" s="1" t="s">
        <v>202</v>
      </c>
      <c r="C95" s="1">
        <v>0</v>
      </c>
      <c r="D95" s="1">
        <v>21</v>
      </c>
      <c r="E95" s="1">
        <v>28</v>
      </c>
      <c r="F95" s="1">
        <v>2</v>
      </c>
      <c r="G95" s="13"/>
      <c r="H95" s="1">
        <v>95</v>
      </c>
      <c r="I95" s="1">
        <v>19</v>
      </c>
      <c r="J95" s="1" t="s">
        <v>7</v>
      </c>
      <c r="K95" s="1">
        <v>26</v>
      </c>
      <c r="L95" s="1">
        <v>2</v>
      </c>
      <c r="M95" s="1">
        <v>10</v>
      </c>
      <c r="N95" s="1"/>
      <c r="O95" t="s">
        <v>136</v>
      </c>
      <c r="P95" t="s">
        <v>139</v>
      </c>
      <c r="Q95">
        <v>11</v>
      </c>
      <c r="R95">
        <v>7</v>
      </c>
      <c r="S95">
        <v>5</v>
      </c>
      <c r="T95">
        <v>1</v>
      </c>
      <c r="U95">
        <v>-3</v>
      </c>
      <c r="Y95">
        <v>7.96</v>
      </c>
      <c r="Z95">
        <v>9.69</v>
      </c>
      <c r="AA95">
        <v>0</v>
      </c>
      <c r="AG95" t="str">
        <f t="shared" si="8"/>
        <v>N</v>
      </c>
      <c r="AH95" t="str">
        <f t="shared" si="9"/>
        <v>No Catch</v>
      </c>
      <c r="AI95">
        <f t="shared" si="10"/>
        <v>0</v>
      </c>
      <c r="AJ95">
        <f t="shared" si="11"/>
        <v>1.7299999999999995</v>
      </c>
    </row>
    <row r="96" spans="1:36" x14ac:dyDescent="0.5">
      <c r="A96" s="1">
        <v>2</v>
      </c>
      <c r="B96" s="1" t="s">
        <v>202</v>
      </c>
      <c r="C96" s="1">
        <v>0</v>
      </c>
      <c r="D96" s="1">
        <v>21</v>
      </c>
      <c r="E96" s="1">
        <v>28</v>
      </c>
      <c r="F96" s="1">
        <v>2</v>
      </c>
      <c r="G96" s="13"/>
      <c r="H96" s="1">
        <v>96</v>
      </c>
      <c r="I96" s="1">
        <v>20</v>
      </c>
      <c r="J96" s="1" t="s">
        <v>7</v>
      </c>
      <c r="K96" s="1">
        <v>26</v>
      </c>
      <c r="L96" s="1">
        <v>3</v>
      </c>
      <c r="M96" s="1">
        <v>10</v>
      </c>
      <c r="N96" s="1"/>
      <c r="O96" t="s">
        <v>9</v>
      </c>
      <c r="P96" t="s">
        <v>137</v>
      </c>
      <c r="Q96">
        <v>11</v>
      </c>
      <c r="R96">
        <v>7</v>
      </c>
      <c r="S96">
        <v>5</v>
      </c>
      <c r="W96">
        <v>9.76</v>
      </c>
      <c r="X96">
        <v>12.71</v>
      </c>
      <c r="AA96">
        <v>6</v>
      </c>
      <c r="AC96" t="s">
        <v>82</v>
      </c>
      <c r="AD96" t="s">
        <v>41</v>
      </c>
      <c r="AE96">
        <v>5</v>
      </c>
      <c r="AF96">
        <v>82</v>
      </c>
      <c r="AG96" t="str">
        <f t="shared" si="8"/>
        <v>N</v>
      </c>
      <c r="AH96">
        <f t="shared" si="9"/>
        <v>1</v>
      </c>
      <c r="AI96">
        <f t="shared" si="10"/>
        <v>2.9500000000000011</v>
      </c>
      <c r="AJ96">
        <f t="shared" si="11"/>
        <v>0</v>
      </c>
    </row>
    <row r="97" spans="1:36" x14ac:dyDescent="0.5">
      <c r="A97" s="1">
        <v>2</v>
      </c>
      <c r="B97" s="1" t="s">
        <v>202</v>
      </c>
      <c r="C97" s="1">
        <v>1</v>
      </c>
      <c r="D97" s="1">
        <v>21</v>
      </c>
      <c r="E97" s="1">
        <v>35</v>
      </c>
      <c r="F97" s="1">
        <v>2</v>
      </c>
      <c r="G97" s="13"/>
      <c r="H97" s="1">
        <v>107</v>
      </c>
      <c r="I97" s="1">
        <v>21</v>
      </c>
      <c r="J97" s="1" t="s">
        <v>7</v>
      </c>
      <c r="K97" s="1">
        <v>28</v>
      </c>
      <c r="L97" s="1">
        <v>1</v>
      </c>
      <c r="M97" s="1">
        <v>10</v>
      </c>
      <c r="N97" s="1"/>
      <c r="O97" t="s">
        <v>9</v>
      </c>
      <c r="P97" t="s">
        <v>139</v>
      </c>
      <c r="Q97">
        <v>11</v>
      </c>
      <c r="R97">
        <v>6</v>
      </c>
      <c r="S97">
        <v>5</v>
      </c>
      <c r="W97">
        <v>7.32</v>
      </c>
      <c r="X97">
        <v>8.83</v>
      </c>
      <c r="AA97">
        <v>1</v>
      </c>
      <c r="AC97" t="s">
        <v>82</v>
      </c>
      <c r="AD97" t="s">
        <v>41</v>
      </c>
      <c r="AE97">
        <v>1</v>
      </c>
      <c r="AF97">
        <v>1</v>
      </c>
      <c r="AG97" t="str">
        <f t="shared" si="8"/>
        <v>N</v>
      </c>
      <c r="AH97">
        <f t="shared" si="9"/>
        <v>0</v>
      </c>
      <c r="AI97">
        <f t="shared" si="10"/>
        <v>1.5099999999999998</v>
      </c>
      <c r="AJ97">
        <f t="shared" si="11"/>
        <v>0</v>
      </c>
    </row>
    <row r="98" spans="1:36" x14ac:dyDescent="0.5">
      <c r="A98" s="1">
        <v>2</v>
      </c>
      <c r="B98" s="1" t="s">
        <v>202</v>
      </c>
      <c r="C98" s="1">
        <v>0</v>
      </c>
      <c r="D98" s="1">
        <v>21</v>
      </c>
      <c r="E98" s="1">
        <v>35</v>
      </c>
      <c r="F98" s="1">
        <v>2</v>
      </c>
      <c r="G98" s="13"/>
      <c r="H98" s="1">
        <v>108</v>
      </c>
      <c r="I98" s="1">
        <v>22</v>
      </c>
      <c r="J98" s="1" t="s">
        <v>7</v>
      </c>
      <c r="K98" s="1">
        <v>29</v>
      </c>
      <c r="L98" s="1">
        <v>2</v>
      </c>
      <c r="M98" s="1">
        <v>9</v>
      </c>
      <c r="N98" s="1"/>
      <c r="O98" t="s">
        <v>9</v>
      </c>
      <c r="P98" t="s">
        <v>137</v>
      </c>
      <c r="Q98">
        <v>11</v>
      </c>
      <c r="R98">
        <v>6</v>
      </c>
      <c r="S98">
        <v>5</v>
      </c>
      <c r="W98">
        <v>9.24</v>
      </c>
      <c r="X98">
        <v>11.52</v>
      </c>
      <c r="AA98">
        <v>14</v>
      </c>
      <c r="AC98" t="s">
        <v>82</v>
      </c>
      <c r="AD98" t="s">
        <v>41</v>
      </c>
      <c r="AE98">
        <v>13</v>
      </c>
      <c r="AF98">
        <v>4</v>
      </c>
      <c r="AG98" t="str">
        <f t="shared" si="8"/>
        <v>Y</v>
      </c>
      <c r="AH98">
        <f t="shared" si="9"/>
        <v>1</v>
      </c>
      <c r="AI98">
        <f t="shared" si="10"/>
        <v>2.2799999999999994</v>
      </c>
      <c r="AJ98">
        <f t="shared" si="11"/>
        <v>0</v>
      </c>
    </row>
    <row r="99" spans="1:36" x14ac:dyDescent="0.5">
      <c r="A99" s="1">
        <v>2</v>
      </c>
      <c r="B99" s="1" t="s">
        <v>202</v>
      </c>
      <c r="C99" s="1">
        <v>0</v>
      </c>
      <c r="D99" s="1">
        <v>21</v>
      </c>
      <c r="E99" s="1">
        <v>35</v>
      </c>
      <c r="F99" s="1">
        <v>2</v>
      </c>
      <c r="G99" s="13"/>
      <c r="H99" s="1">
        <v>109</v>
      </c>
      <c r="I99" s="1">
        <v>23</v>
      </c>
      <c r="J99" s="1" t="s">
        <v>7</v>
      </c>
      <c r="K99" s="1">
        <v>43</v>
      </c>
      <c r="L99" s="1">
        <v>1</v>
      </c>
      <c r="M99" s="1">
        <v>10</v>
      </c>
      <c r="N99" s="1" t="s">
        <v>204</v>
      </c>
      <c r="O99" t="s">
        <v>194</v>
      </c>
      <c r="S99">
        <v>5</v>
      </c>
      <c r="AA99">
        <v>15</v>
      </c>
      <c r="AG99" t="str">
        <f t="shared" si="8"/>
        <v>Y</v>
      </c>
      <c r="AH99" t="str">
        <f t="shared" si="9"/>
        <v>No Catch</v>
      </c>
      <c r="AI99">
        <f t="shared" si="10"/>
        <v>0</v>
      </c>
      <c r="AJ99">
        <f t="shared" si="11"/>
        <v>0</v>
      </c>
    </row>
    <row r="100" spans="1:36" x14ac:dyDescent="0.5">
      <c r="A100" s="1">
        <v>2</v>
      </c>
      <c r="B100" s="1" t="s">
        <v>202</v>
      </c>
      <c r="C100" s="1">
        <v>0</v>
      </c>
      <c r="D100" s="1">
        <v>21</v>
      </c>
      <c r="E100" s="1">
        <v>35</v>
      </c>
      <c r="F100" s="1">
        <v>2</v>
      </c>
      <c r="G100" s="13"/>
      <c r="H100" s="1">
        <v>110</v>
      </c>
      <c r="I100" s="1">
        <v>24</v>
      </c>
      <c r="J100" s="1" t="s">
        <v>138</v>
      </c>
      <c r="K100" s="1">
        <v>42</v>
      </c>
      <c r="L100" s="1">
        <v>1</v>
      </c>
      <c r="M100" s="1">
        <v>10</v>
      </c>
      <c r="N100" s="1" t="s">
        <v>204</v>
      </c>
      <c r="O100" t="s">
        <v>194</v>
      </c>
      <c r="S100">
        <v>5</v>
      </c>
      <c r="AA100">
        <v>15</v>
      </c>
      <c r="AG100" t="str">
        <f t="shared" si="8"/>
        <v>Y</v>
      </c>
      <c r="AH100" t="str">
        <f t="shared" si="9"/>
        <v>No Catch</v>
      </c>
      <c r="AI100">
        <f t="shared" si="10"/>
        <v>0</v>
      </c>
      <c r="AJ100">
        <f t="shared" si="11"/>
        <v>0</v>
      </c>
    </row>
    <row r="101" spans="1:36" x14ac:dyDescent="0.5">
      <c r="A101" s="1">
        <v>2</v>
      </c>
      <c r="B101" s="1" t="s">
        <v>202</v>
      </c>
      <c r="C101" s="1">
        <v>0</v>
      </c>
      <c r="D101" s="1">
        <v>21</v>
      </c>
      <c r="E101" s="1">
        <v>35</v>
      </c>
      <c r="F101" s="1">
        <v>2</v>
      </c>
      <c r="G101" s="13"/>
      <c r="H101" s="1">
        <v>111</v>
      </c>
      <c r="I101" s="1">
        <v>25</v>
      </c>
      <c r="J101" s="1" t="s">
        <v>138</v>
      </c>
      <c r="K101" s="1">
        <v>27</v>
      </c>
      <c r="L101" s="1">
        <v>1</v>
      </c>
      <c r="M101" s="1">
        <v>10</v>
      </c>
      <c r="N101" s="1"/>
      <c r="O101" t="s">
        <v>9</v>
      </c>
      <c r="P101" t="s">
        <v>139</v>
      </c>
      <c r="Q101">
        <v>11</v>
      </c>
      <c r="R101">
        <v>7</v>
      </c>
      <c r="S101">
        <v>5</v>
      </c>
      <c r="W101">
        <v>11.25</v>
      </c>
      <c r="X101">
        <v>13.48</v>
      </c>
      <c r="AA101">
        <v>0</v>
      </c>
      <c r="AC101" t="s">
        <v>193</v>
      </c>
      <c r="AD101" t="s">
        <v>37</v>
      </c>
      <c r="AE101">
        <v>13</v>
      </c>
      <c r="AF101">
        <v>84</v>
      </c>
      <c r="AG101" t="str">
        <f t="shared" si="8"/>
        <v>N</v>
      </c>
      <c r="AH101" t="str">
        <f t="shared" si="9"/>
        <v>No Catch</v>
      </c>
      <c r="AI101">
        <f t="shared" si="10"/>
        <v>2.2300000000000004</v>
      </c>
      <c r="AJ101">
        <f t="shared" si="11"/>
        <v>0</v>
      </c>
    </row>
    <row r="102" spans="1:36" x14ac:dyDescent="0.5">
      <c r="A102" s="1">
        <v>2</v>
      </c>
      <c r="B102" s="1" t="s">
        <v>202</v>
      </c>
      <c r="C102" s="1">
        <v>0</v>
      </c>
      <c r="D102" s="1">
        <v>21</v>
      </c>
      <c r="E102" s="1">
        <v>35</v>
      </c>
      <c r="F102" s="1">
        <v>2</v>
      </c>
      <c r="G102" s="13"/>
      <c r="H102" s="1">
        <v>112</v>
      </c>
      <c r="I102" s="1">
        <v>26</v>
      </c>
      <c r="J102" s="1" t="s">
        <v>138</v>
      </c>
      <c r="K102" s="1">
        <v>27</v>
      </c>
      <c r="L102" s="1">
        <v>2</v>
      </c>
      <c r="M102" s="1">
        <v>10</v>
      </c>
      <c r="N102" s="1"/>
      <c r="O102" t="s">
        <v>9</v>
      </c>
      <c r="P102" t="s">
        <v>81</v>
      </c>
      <c r="Q102">
        <v>11</v>
      </c>
      <c r="R102">
        <v>6</v>
      </c>
      <c r="S102">
        <v>5</v>
      </c>
      <c r="W102">
        <v>6.54</v>
      </c>
      <c r="X102">
        <v>8.23</v>
      </c>
      <c r="AA102">
        <v>6</v>
      </c>
      <c r="AC102" t="s">
        <v>82</v>
      </c>
      <c r="AD102" t="s">
        <v>41</v>
      </c>
      <c r="AE102">
        <v>6</v>
      </c>
      <c r="AF102">
        <v>14</v>
      </c>
      <c r="AG102" t="str">
        <f t="shared" si="8"/>
        <v>N</v>
      </c>
      <c r="AH102">
        <f t="shared" si="9"/>
        <v>0</v>
      </c>
      <c r="AI102">
        <f t="shared" si="10"/>
        <v>1.6900000000000004</v>
      </c>
      <c r="AJ102">
        <f t="shared" si="11"/>
        <v>0</v>
      </c>
    </row>
    <row r="103" spans="1:36" x14ac:dyDescent="0.5">
      <c r="A103" s="1">
        <v>2</v>
      </c>
      <c r="B103" s="1" t="s">
        <v>202</v>
      </c>
      <c r="C103" s="1">
        <v>0</v>
      </c>
      <c r="D103" s="1">
        <v>21</v>
      </c>
      <c r="E103" s="1">
        <v>35</v>
      </c>
      <c r="F103" s="1">
        <v>2</v>
      </c>
      <c r="G103" s="13"/>
      <c r="H103" s="1">
        <v>114</v>
      </c>
      <c r="I103" s="1">
        <v>27</v>
      </c>
      <c r="J103" s="1" t="s">
        <v>138</v>
      </c>
      <c r="K103" s="1">
        <v>21</v>
      </c>
      <c r="L103" s="1">
        <v>3</v>
      </c>
      <c r="M103" s="1">
        <v>4</v>
      </c>
      <c r="N103" s="1"/>
      <c r="O103" t="s">
        <v>9</v>
      </c>
      <c r="P103" t="s">
        <v>137</v>
      </c>
      <c r="Q103">
        <v>11</v>
      </c>
      <c r="R103">
        <v>6</v>
      </c>
      <c r="S103">
        <v>5</v>
      </c>
      <c r="W103">
        <v>29.9</v>
      </c>
      <c r="X103">
        <v>31.17</v>
      </c>
      <c r="AA103">
        <v>0</v>
      </c>
      <c r="AC103" t="s">
        <v>42</v>
      </c>
      <c r="AD103" t="s">
        <v>41</v>
      </c>
      <c r="AE103">
        <v>6</v>
      </c>
      <c r="AF103">
        <v>14</v>
      </c>
      <c r="AG103" t="str">
        <f t="shared" si="8"/>
        <v>N</v>
      </c>
      <c r="AH103" t="str">
        <f t="shared" si="9"/>
        <v>No Catch</v>
      </c>
      <c r="AI103">
        <f t="shared" si="10"/>
        <v>1.2700000000000031</v>
      </c>
      <c r="AJ103">
        <f t="shared" si="11"/>
        <v>0</v>
      </c>
    </row>
    <row r="104" spans="1:36" x14ac:dyDescent="0.5">
      <c r="A104" s="1">
        <v>2</v>
      </c>
      <c r="B104" s="1" t="s">
        <v>202</v>
      </c>
      <c r="C104" s="1">
        <v>0</v>
      </c>
      <c r="D104" s="1">
        <v>21</v>
      </c>
      <c r="E104" s="1">
        <v>35</v>
      </c>
      <c r="F104" s="1">
        <v>2</v>
      </c>
      <c r="G104" s="13"/>
      <c r="H104" s="1">
        <v>115</v>
      </c>
      <c r="I104" s="1">
        <v>28</v>
      </c>
      <c r="J104" s="1" t="s">
        <v>138</v>
      </c>
      <c r="K104" s="1">
        <v>21</v>
      </c>
      <c r="L104" s="1">
        <v>4</v>
      </c>
      <c r="M104" s="1">
        <v>4</v>
      </c>
      <c r="N104" s="1"/>
      <c r="O104" t="s">
        <v>9</v>
      </c>
      <c r="P104" t="s">
        <v>137</v>
      </c>
      <c r="Q104">
        <v>11</v>
      </c>
      <c r="R104">
        <v>7</v>
      </c>
      <c r="S104">
        <v>5</v>
      </c>
      <c r="W104">
        <v>8.89</v>
      </c>
      <c r="X104">
        <v>13.98</v>
      </c>
      <c r="AB104" t="s">
        <v>33</v>
      </c>
      <c r="AC104" t="s">
        <v>193</v>
      </c>
      <c r="AD104" t="s">
        <v>37</v>
      </c>
      <c r="AG104" t="str">
        <f t="shared" si="8"/>
        <v>N</v>
      </c>
      <c r="AH104" t="str">
        <f t="shared" si="9"/>
        <v>No Catch</v>
      </c>
      <c r="AI104">
        <f t="shared" si="10"/>
        <v>5.09</v>
      </c>
      <c r="AJ104">
        <f t="shared" si="11"/>
        <v>0</v>
      </c>
    </row>
    <row r="105" spans="1:36" x14ac:dyDescent="0.5">
      <c r="A105" s="1">
        <v>2</v>
      </c>
      <c r="B105" s="1" t="s">
        <v>202</v>
      </c>
      <c r="C105" s="1">
        <v>1</v>
      </c>
      <c r="D105" s="1">
        <v>21</v>
      </c>
      <c r="E105" s="1">
        <v>35</v>
      </c>
      <c r="F105" s="1">
        <v>3</v>
      </c>
      <c r="G105" s="13"/>
      <c r="H105" s="1">
        <v>118</v>
      </c>
      <c r="I105" s="1">
        <v>29</v>
      </c>
      <c r="J105" s="1" t="s">
        <v>7</v>
      </c>
      <c r="K105" s="1">
        <v>25</v>
      </c>
      <c r="L105" s="1">
        <v>1</v>
      </c>
      <c r="M105" s="1">
        <v>10</v>
      </c>
      <c r="N105" s="1"/>
      <c r="O105" t="s">
        <v>9</v>
      </c>
      <c r="P105" t="s">
        <v>139</v>
      </c>
      <c r="Q105">
        <v>11</v>
      </c>
      <c r="R105">
        <v>6</v>
      </c>
      <c r="S105">
        <v>5</v>
      </c>
      <c r="W105">
        <v>8.8800000000000008</v>
      </c>
      <c r="X105">
        <v>10.67</v>
      </c>
      <c r="AA105">
        <v>11</v>
      </c>
      <c r="AC105" t="s">
        <v>82</v>
      </c>
      <c r="AD105" t="s">
        <v>41</v>
      </c>
      <c r="AE105">
        <v>8</v>
      </c>
      <c r="AF105">
        <v>14</v>
      </c>
      <c r="AG105" t="str">
        <f t="shared" si="8"/>
        <v>Y</v>
      </c>
      <c r="AH105">
        <f t="shared" si="9"/>
        <v>3</v>
      </c>
      <c r="AI105">
        <f t="shared" si="10"/>
        <v>1.7899999999999991</v>
      </c>
      <c r="AJ105">
        <f t="shared" si="11"/>
        <v>0</v>
      </c>
    </row>
    <row r="106" spans="1:36" x14ac:dyDescent="0.5">
      <c r="A106" s="1">
        <v>2</v>
      </c>
      <c r="B106" s="1" t="s">
        <v>202</v>
      </c>
      <c r="C106" s="1">
        <v>0</v>
      </c>
      <c r="D106" s="1">
        <v>21</v>
      </c>
      <c r="E106" s="1">
        <v>35</v>
      </c>
      <c r="F106" s="1">
        <v>3</v>
      </c>
      <c r="G106" s="13"/>
      <c r="H106" s="1">
        <v>119</v>
      </c>
      <c r="I106" s="1">
        <v>30</v>
      </c>
      <c r="J106" s="1" t="s">
        <v>7</v>
      </c>
      <c r="K106" s="1">
        <v>36</v>
      </c>
      <c r="L106" s="1">
        <v>1</v>
      </c>
      <c r="M106" s="1">
        <v>10</v>
      </c>
      <c r="N106" s="1"/>
      <c r="O106" t="s">
        <v>136</v>
      </c>
      <c r="P106" t="s">
        <v>81</v>
      </c>
      <c r="Q106">
        <v>12</v>
      </c>
      <c r="R106">
        <v>8</v>
      </c>
      <c r="S106">
        <v>5</v>
      </c>
      <c r="T106">
        <v>33</v>
      </c>
      <c r="U106">
        <v>0</v>
      </c>
      <c r="Y106">
        <v>4.9000000000000004</v>
      </c>
      <c r="Z106">
        <v>8.11</v>
      </c>
      <c r="AA106">
        <v>1</v>
      </c>
      <c r="AG106" t="str">
        <f t="shared" si="8"/>
        <v>N</v>
      </c>
      <c r="AH106" t="str">
        <f t="shared" si="9"/>
        <v>No Catch</v>
      </c>
      <c r="AI106">
        <f t="shared" si="10"/>
        <v>0</v>
      </c>
      <c r="AJ106">
        <f t="shared" si="11"/>
        <v>3.2099999999999991</v>
      </c>
    </row>
    <row r="107" spans="1:36" x14ac:dyDescent="0.5">
      <c r="A107" s="1">
        <v>2</v>
      </c>
      <c r="B107" s="1" t="s">
        <v>202</v>
      </c>
      <c r="C107" s="1">
        <v>0</v>
      </c>
      <c r="D107" s="1">
        <v>21</v>
      </c>
      <c r="E107" s="1">
        <v>35</v>
      </c>
      <c r="F107" s="1">
        <v>3</v>
      </c>
      <c r="G107" s="13"/>
      <c r="H107" s="1">
        <v>120</v>
      </c>
      <c r="I107" s="1">
        <v>31</v>
      </c>
      <c r="J107" s="1" t="s">
        <v>7</v>
      </c>
      <c r="K107" s="1">
        <v>37</v>
      </c>
      <c r="L107" s="1">
        <v>2</v>
      </c>
      <c r="M107" s="1">
        <v>9</v>
      </c>
      <c r="N107" s="1"/>
      <c r="O107" t="s">
        <v>9</v>
      </c>
      <c r="P107" t="s">
        <v>81</v>
      </c>
      <c r="Q107">
        <v>11</v>
      </c>
      <c r="R107">
        <v>7</v>
      </c>
      <c r="S107">
        <v>5</v>
      </c>
      <c r="W107">
        <v>10.46</v>
      </c>
      <c r="X107">
        <v>12.08</v>
      </c>
      <c r="AA107">
        <v>0</v>
      </c>
      <c r="AC107" t="s">
        <v>193</v>
      </c>
      <c r="AD107" t="s">
        <v>205</v>
      </c>
      <c r="AE107">
        <v>-2</v>
      </c>
      <c r="AF107">
        <v>33</v>
      </c>
      <c r="AG107" t="str">
        <f t="shared" si="8"/>
        <v>N</v>
      </c>
      <c r="AH107" t="str">
        <f t="shared" si="9"/>
        <v>No Catch</v>
      </c>
      <c r="AI107">
        <f t="shared" si="10"/>
        <v>1.6199999999999992</v>
      </c>
      <c r="AJ107">
        <f t="shared" si="11"/>
        <v>0</v>
      </c>
    </row>
    <row r="108" spans="1:36" x14ac:dyDescent="0.5">
      <c r="A108" s="1">
        <v>2</v>
      </c>
      <c r="B108" s="1" t="s">
        <v>202</v>
      </c>
      <c r="C108" s="1">
        <v>0</v>
      </c>
      <c r="D108" s="1">
        <v>21</v>
      </c>
      <c r="E108" s="1">
        <v>35</v>
      </c>
      <c r="F108" s="1">
        <v>3</v>
      </c>
      <c r="G108" s="13"/>
      <c r="H108" s="1">
        <v>121</v>
      </c>
      <c r="I108" s="1">
        <v>32</v>
      </c>
      <c r="J108" s="1" t="s">
        <v>7</v>
      </c>
      <c r="K108" s="1">
        <v>37</v>
      </c>
      <c r="L108" s="1">
        <v>3</v>
      </c>
      <c r="M108" s="1">
        <v>9</v>
      </c>
      <c r="N108" s="1" t="s">
        <v>204</v>
      </c>
      <c r="O108" t="s">
        <v>194</v>
      </c>
      <c r="S108">
        <v>5</v>
      </c>
      <c r="AA108">
        <v>12</v>
      </c>
      <c r="AG108" t="str">
        <f t="shared" si="8"/>
        <v>Y</v>
      </c>
      <c r="AH108" t="str">
        <f t="shared" si="9"/>
        <v>No Catch</v>
      </c>
      <c r="AI108">
        <f t="shared" si="10"/>
        <v>0</v>
      </c>
      <c r="AJ108">
        <f t="shared" si="11"/>
        <v>0</v>
      </c>
    </row>
    <row r="109" spans="1:36" x14ac:dyDescent="0.5">
      <c r="A109" s="1">
        <v>2</v>
      </c>
      <c r="B109" s="1" t="s">
        <v>202</v>
      </c>
      <c r="C109" s="1">
        <v>0</v>
      </c>
      <c r="D109" s="1">
        <v>21</v>
      </c>
      <c r="E109" s="1">
        <v>35</v>
      </c>
      <c r="F109" s="1">
        <v>3</v>
      </c>
      <c r="G109" s="13"/>
      <c r="H109" s="1">
        <v>123</v>
      </c>
      <c r="I109" s="1">
        <v>33</v>
      </c>
      <c r="J109" s="1" t="s">
        <v>7</v>
      </c>
      <c r="K109" s="1">
        <v>49</v>
      </c>
      <c r="L109" s="1">
        <v>1</v>
      </c>
      <c r="M109" s="1">
        <v>10</v>
      </c>
      <c r="N109" s="1"/>
      <c r="O109" t="s">
        <v>136</v>
      </c>
      <c r="P109" t="s">
        <v>137</v>
      </c>
      <c r="Q109">
        <v>12</v>
      </c>
      <c r="R109">
        <v>7</v>
      </c>
      <c r="S109">
        <v>5</v>
      </c>
      <c r="T109">
        <v>1</v>
      </c>
      <c r="U109">
        <v>-0.5</v>
      </c>
      <c r="Y109">
        <v>7.34</v>
      </c>
      <c r="Z109">
        <v>8.06</v>
      </c>
      <c r="AA109">
        <v>2</v>
      </c>
      <c r="AG109" t="str">
        <f t="shared" si="8"/>
        <v>N</v>
      </c>
      <c r="AH109" t="str">
        <f t="shared" si="9"/>
        <v>No Catch</v>
      </c>
      <c r="AI109">
        <f t="shared" si="10"/>
        <v>0</v>
      </c>
      <c r="AJ109">
        <f t="shared" si="11"/>
        <v>0.72000000000000064</v>
      </c>
    </row>
    <row r="110" spans="1:36" x14ac:dyDescent="0.5">
      <c r="A110" s="1">
        <v>2</v>
      </c>
      <c r="B110" s="1" t="s">
        <v>202</v>
      </c>
      <c r="C110" s="1">
        <v>0</v>
      </c>
      <c r="D110" s="1">
        <v>21</v>
      </c>
      <c r="E110" s="1">
        <v>35</v>
      </c>
      <c r="F110" s="1">
        <v>3</v>
      </c>
      <c r="G110" s="13"/>
      <c r="H110" s="1">
        <v>124</v>
      </c>
      <c r="I110" s="1">
        <v>34</v>
      </c>
      <c r="J110" s="1" t="s">
        <v>138</v>
      </c>
      <c r="K110" s="1">
        <v>49</v>
      </c>
      <c r="L110" s="1">
        <v>2</v>
      </c>
      <c r="M110" s="1">
        <v>8</v>
      </c>
      <c r="N110" s="1" t="s">
        <v>204</v>
      </c>
      <c r="O110" t="s">
        <v>194</v>
      </c>
      <c r="S110">
        <v>5</v>
      </c>
      <c r="AA110">
        <v>4</v>
      </c>
      <c r="AG110" t="str">
        <f t="shared" si="8"/>
        <v>N</v>
      </c>
      <c r="AH110" t="str">
        <f t="shared" si="9"/>
        <v>No Catch</v>
      </c>
      <c r="AI110">
        <f t="shared" si="10"/>
        <v>0</v>
      </c>
      <c r="AJ110">
        <f t="shared" si="11"/>
        <v>0</v>
      </c>
    </row>
    <row r="111" spans="1:36" x14ac:dyDescent="0.5">
      <c r="A111" s="1">
        <v>2</v>
      </c>
      <c r="B111" s="1" t="s">
        <v>202</v>
      </c>
      <c r="C111" s="1">
        <v>0</v>
      </c>
      <c r="D111" s="1">
        <v>21</v>
      </c>
      <c r="E111" s="1">
        <v>35</v>
      </c>
      <c r="F111" s="1">
        <v>3</v>
      </c>
      <c r="G111" s="13"/>
      <c r="H111" s="1">
        <v>125</v>
      </c>
      <c r="I111" s="1">
        <v>35</v>
      </c>
      <c r="J111" s="1" t="s">
        <v>138</v>
      </c>
      <c r="K111" s="1">
        <v>45</v>
      </c>
      <c r="L111" s="1">
        <v>1</v>
      </c>
      <c r="M111" s="1">
        <v>10</v>
      </c>
      <c r="N111" s="1"/>
      <c r="O111" t="s">
        <v>9</v>
      </c>
      <c r="P111" t="s">
        <v>139</v>
      </c>
      <c r="Q111">
        <v>11</v>
      </c>
      <c r="R111">
        <v>6</v>
      </c>
      <c r="S111">
        <v>5</v>
      </c>
      <c r="W111">
        <v>9.57</v>
      </c>
      <c r="X111">
        <v>12.42</v>
      </c>
      <c r="AA111">
        <v>0</v>
      </c>
      <c r="AC111" t="s">
        <v>193</v>
      </c>
      <c r="AD111" t="s">
        <v>203</v>
      </c>
      <c r="AE111">
        <v>15</v>
      </c>
      <c r="AF111">
        <v>84</v>
      </c>
      <c r="AG111" t="str">
        <f t="shared" si="8"/>
        <v>N</v>
      </c>
      <c r="AH111" t="str">
        <f t="shared" si="9"/>
        <v>No Catch</v>
      </c>
      <c r="AI111">
        <f t="shared" si="10"/>
        <v>2.8499999999999996</v>
      </c>
      <c r="AJ111">
        <f t="shared" si="11"/>
        <v>0</v>
      </c>
    </row>
    <row r="112" spans="1:36" x14ac:dyDescent="0.5">
      <c r="A112" s="1">
        <v>2</v>
      </c>
      <c r="B112" s="1" t="s">
        <v>202</v>
      </c>
      <c r="C112" s="1">
        <v>0</v>
      </c>
      <c r="D112" s="1">
        <v>21</v>
      </c>
      <c r="E112" s="1">
        <v>35</v>
      </c>
      <c r="F112" s="1">
        <v>3</v>
      </c>
      <c r="G112" s="13"/>
      <c r="H112" s="1">
        <v>126</v>
      </c>
      <c r="I112" s="1">
        <v>36</v>
      </c>
      <c r="J112" s="1" t="s">
        <v>138</v>
      </c>
      <c r="K112" s="1">
        <v>45</v>
      </c>
      <c r="L112" s="1">
        <v>2</v>
      </c>
      <c r="M112" s="1">
        <v>10</v>
      </c>
      <c r="N112" s="1"/>
      <c r="O112" t="s">
        <v>9</v>
      </c>
      <c r="P112" t="s">
        <v>137</v>
      </c>
      <c r="Q112">
        <v>11</v>
      </c>
      <c r="R112">
        <v>7</v>
      </c>
      <c r="S112">
        <v>5</v>
      </c>
      <c r="W112">
        <v>8.2899999999999991</v>
      </c>
      <c r="X112">
        <v>10.4</v>
      </c>
      <c r="AA112">
        <v>0</v>
      </c>
      <c r="AC112" t="s">
        <v>42</v>
      </c>
      <c r="AD112" t="s">
        <v>41</v>
      </c>
      <c r="AE112">
        <v>4</v>
      </c>
      <c r="AF112">
        <v>6</v>
      </c>
      <c r="AG112" t="str">
        <f t="shared" si="8"/>
        <v>N</v>
      </c>
      <c r="AH112" t="str">
        <f t="shared" si="9"/>
        <v>No Catch</v>
      </c>
      <c r="AI112">
        <f t="shared" si="10"/>
        <v>2.1100000000000012</v>
      </c>
      <c r="AJ112">
        <f t="shared" si="11"/>
        <v>0</v>
      </c>
    </row>
    <row r="113" spans="1:36" x14ac:dyDescent="0.5">
      <c r="A113" s="1">
        <v>2</v>
      </c>
      <c r="B113" s="1" t="s">
        <v>202</v>
      </c>
      <c r="C113" s="1">
        <v>0</v>
      </c>
      <c r="D113" s="1">
        <v>21</v>
      </c>
      <c r="E113" s="1">
        <v>35</v>
      </c>
      <c r="F113" s="1">
        <v>3</v>
      </c>
      <c r="G113" s="13"/>
      <c r="H113" s="1">
        <v>127</v>
      </c>
      <c r="I113" s="1">
        <v>37</v>
      </c>
      <c r="J113" s="1" t="s">
        <v>138</v>
      </c>
      <c r="K113" s="1">
        <v>45</v>
      </c>
      <c r="L113" s="1">
        <v>3</v>
      </c>
      <c r="M113" s="1">
        <v>10</v>
      </c>
      <c r="N113" s="1" t="s">
        <v>206</v>
      </c>
      <c r="O113" t="s">
        <v>194</v>
      </c>
      <c r="S113">
        <v>5</v>
      </c>
      <c r="AA113">
        <v>15</v>
      </c>
      <c r="AG113" t="str">
        <f t="shared" si="8"/>
        <v>Y</v>
      </c>
      <c r="AH113" t="str">
        <f t="shared" si="9"/>
        <v>No Catch</v>
      </c>
      <c r="AI113">
        <f t="shared" si="10"/>
        <v>0</v>
      </c>
      <c r="AJ113">
        <f t="shared" si="11"/>
        <v>0</v>
      </c>
    </row>
    <row r="114" spans="1:36" x14ac:dyDescent="0.5">
      <c r="A114" s="1">
        <v>2</v>
      </c>
      <c r="B114" s="1" t="s">
        <v>202</v>
      </c>
      <c r="C114" s="1">
        <v>0</v>
      </c>
      <c r="D114" s="1">
        <v>21</v>
      </c>
      <c r="E114" s="1">
        <v>35</v>
      </c>
      <c r="F114" s="1">
        <v>3</v>
      </c>
      <c r="G114" s="13"/>
      <c r="H114" s="1">
        <v>128</v>
      </c>
      <c r="I114" s="1">
        <v>38</v>
      </c>
      <c r="J114" s="1" t="s">
        <v>138</v>
      </c>
      <c r="K114" s="1">
        <v>30</v>
      </c>
      <c r="L114" s="1">
        <v>1</v>
      </c>
      <c r="M114" s="1">
        <v>10</v>
      </c>
      <c r="N114" s="1" t="s">
        <v>204</v>
      </c>
      <c r="O114" t="s">
        <v>194</v>
      </c>
      <c r="S114">
        <v>5</v>
      </c>
      <c r="AA114">
        <v>15</v>
      </c>
      <c r="AG114" t="str">
        <f t="shared" si="8"/>
        <v>Y</v>
      </c>
      <c r="AH114" t="str">
        <f t="shared" si="9"/>
        <v>No Catch</v>
      </c>
      <c r="AI114">
        <f t="shared" si="10"/>
        <v>0</v>
      </c>
      <c r="AJ114">
        <f t="shared" si="11"/>
        <v>0</v>
      </c>
    </row>
    <row r="115" spans="1:36" x14ac:dyDescent="0.5">
      <c r="A115" s="1">
        <v>2</v>
      </c>
      <c r="B115" s="1" t="s">
        <v>202</v>
      </c>
      <c r="C115" s="1">
        <v>0</v>
      </c>
      <c r="D115" s="1">
        <v>21</v>
      </c>
      <c r="E115" s="1">
        <v>35</v>
      </c>
      <c r="F115" s="1">
        <v>3</v>
      </c>
      <c r="G115" s="13"/>
      <c r="H115" s="1">
        <v>129</v>
      </c>
      <c r="I115" s="1">
        <v>39</v>
      </c>
      <c r="J115" s="1" t="s">
        <v>138</v>
      </c>
      <c r="K115" s="1">
        <v>15</v>
      </c>
      <c r="L115" s="1">
        <v>1</v>
      </c>
      <c r="M115" s="1">
        <v>10</v>
      </c>
      <c r="N115" s="1"/>
      <c r="O115" t="s">
        <v>136</v>
      </c>
      <c r="P115" t="s">
        <v>137</v>
      </c>
      <c r="Q115">
        <v>11</v>
      </c>
      <c r="R115">
        <v>6</v>
      </c>
      <c r="S115">
        <v>5</v>
      </c>
      <c r="T115">
        <v>33</v>
      </c>
      <c r="U115">
        <v>2.5</v>
      </c>
      <c r="V115">
        <v>1</v>
      </c>
      <c r="Y115">
        <v>5.98</v>
      </c>
      <c r="Z115">
        <v>7.74</v>
      </c>
      <c r="AA115">
        <v>7</v>
      </c>
      <c r="AG115" t="str">
        <f t="shared" si="8"/>
        <v>N</v>
      </c>
      <c r="AH115" t="str">
        <f t="shared" si="9"/>
        <v>No Catch</v>
      </c>
      <c r="AI115">
        <f t="shared" si="10"/>
        <v>0</v>
      </c>
      <c r="AJ115">
        <f t="shared" si="11"/>
        <v>1.7599999999999998</v>
      </c>
    </row>
    <row r="116" spans="1:36" x14ac:dyDescent="0.5">
      <c r="A116" s="1">
        <v>2</v>
      </c>
      <c r="B116" s="1" t="s">
        <v>202</v>
      </c>
      <c r="C116" s="1">
        <v>0</v>
      </c>
      <c r="D116" s="1">
        <v>21</v>
      </c>
      <c r="E116" s="1">
        <v>35</v>
      </c>
      <c r="F116" s="1">
        <v>3</v>
      </c>
      <c r="G116" s="13"/>
      <c r="H116" s="1">
        <v>130</v>
      </c>
      <c r="I116" s="1">
        <v>40</v>
      </c>
      <c r="J116" s="1" t="s">
        <v>138</v>
      </c>
      <c r="K116" s="1">
        <v>8</v>
      </c>
      <c r="L116" s="1">
        <v>2</v>
      </c>
      <c r="M116" s="1">
        <v>3</v>
      </c>
      <c r="N116" s="1"/>
      <c r="O116" t="s">
        <v>9</v>
      </c>
      <c r="P116" t="s">
        <v>81</v>
      </c>
      <c r="Q116">
        <v>11</v>
      </c>
      <c r="R116">
        <v>7</v>
      </c>
      <c r="S116">
        <v>5</v>
      </c>
      <c r="W116">
        <v>8</v>
      </c>
      <c r="X116">
        <v>9.9600000000000009</v>
      </c>
      <c r="AA116">
        <v>8</v>
      </c>
      <c r="AB116" t="s">
        <v>28</v>
      </c>
      <c r="AC116" t="s">
        <v>82</v>
      </c>
      <c r="AD116" t="s">
        <v>41</v>
      </c>
      <c r="AE116">
        <v>6</v>
      </c>
      <c r="AF116">
        <v>14</v>
      </c>
      <c r="AG116" t="str">
        <f t="shared" si="8"/>
        <v>Y</v>
      </c>
      <c r="AH116">
        <f t="shared" si="9"/>
        <v>2</v>
      </c>
      <c r="AI116">
        <f t="shared" si="10"/>
        <v>1.9600000000000009</v>
      </c>
      <c r="AJ116">
        <f t="shared" si="11"/>
        <v>0</v>
      </c>
    </row>
    <row r="117" spans="1:36" x14ac:dyDescent="0.5">
      <c r="A117" s="1">
        <v>2</v>
      </c>
      <c r="B117" s="1" t="s">
        <v>202</v>
      </c>
      <c r="C117" s="1">
        <v>1</v>
      </c>
      <c r="D117" s="1">
        <v>27</v>
      </c>
      <c r="E117" s="1">
        <v>42</v>
      </c>
      <c r="F117" s="1">
        <v>3</v>
      </c>
      <c r="G117" s="13"/>
      <c r="H117" s="1">
        <v>142</v>
      </c>
      <c r="I117" s="1">
        <v>41</v>
      </c>
      <c r="J117" s="1" t="s">
        <v>7</v>
      </c>
      <c r="K117" s="1">
        <v>40</v>
      </c>
      <c r="L117" s="1">
        <v>1</v>
      </c>
      <c r="M117" s="1">
        <v>10</v>
      </c>
      <c r="N117" s="1"/>
      <c r="O117" t="s">
        <v>9</v>
      </c>
      <c r="Q117">
        <v>11</v>
      </c>
      <c r="R117">
        <v>7</v>
      </c>
      <c r="S117">
        <v>5</v>
      </c>
      <c r="W117">
        <v>7.32</v>
      </c>
      <c r="X117">
        <v>11.2</v>
      </c>
      <c r="AA117">
        <v>0</v>
      </c>
      <c r="AC117" t="s">
        <v>193</v>
      </c>
      <c r="AD117" t="s">
        <v>197</v>
      </c>
      <c r="AG117" t="str">
        <f t="shared" si="8"/>
        <v>N</v>
      </c>
      <c r="AH117" t="str">
        <f t="shared" si="9"/>
        <v>No Catch</v>
      </c>
      <c r="AI117">
        <f t="shared" si="10"/>
        <v>3.879999999999999</v>
      </c>
      <c r="AJ117">
        <f t="shared" si="11"/>
        <v>0</v>
      </c>
    </row>
    <row r="118" spans="1:36" x14ac:dyDescent="0.5">
      <c r="A118" s="1">
        <v>2</v>
      </c>
      <c r="B118" s="1" t="s">
        <v>202</v>
      </c>
      <c r="C118" s="1">
        <v>0</v>
      </c>
      <c r="D118" s="1">
        <v>27</v>
      </c>
      <c r="E118" s="1">
        <v>42</v>
      </c>
      <c r="F118" s="1">
        <v>3</v>
      </c>
      <c r="G118" s="13"/>
      <c r="H118" s="1">
        <v>143</v>
      </c>
      <c r="I118" s="1">
        <v>42</v>
      </c>
      <c r="J118" s="1" t="s">
        <v>7</v>
      </c>
      <c r="K118" s="1">
        <v>40</v>
      </c>
      <c r="L118" s="1">
        <v>2</v>
      </c>
      <c r="M118" s="1">
        <v>10</v>
      </c>
      <c r="N118" s="1"/>
      <c r="O118" t="s">
        <v>136</v>
      </c>
      <c r="P118" t="s">
        <v>137</v>
      </c>
      <c r="Q118">
        <v>11</v>
      </c>
      <c r="R118">
        <v>6</v>
      </c>
      <c r="S118">
        <v>5</v>
      </c>
      <c r="T118">
        <v>33</v>
      </c>
      <c r="U118">
        <v>8</v>
      </c>
      <c r="Y118">
        <v>20.74</v>
      </c>
      <c r="Z118">
        <v>22.97</v>
      </c>
      <c r="AA118">
        <v>11</v>
      </c>
      <c r="AG118" t="str">
        <f t="shared" si="8"/>
        <v>Y</v>
      </c>
      <c r="AH118" t="str">
        <f t="shared" si="9"/>
        <v>No Catch</v>
      </c>
      <c r="AI118">
        <f t="shared" si="10"/>
        <v>0</v>
      </c>
      <c r="AJ118">
        <f t="shared" si="11"/>
        <v>2.2300000000000004</v>
      </c>
    </row>
    <row r="119" spans="1:36" x14ac:dyDescent="0.5">
      <c r="A119" s="1">
        <v>2</v>
      </c>
      <c r="B119" s="1" t="s">
        <v>202</v>
      </c>
      <c r="C119" s="1">
        <v>0</v>
      </c>
      <c r="D119" s="1">
        <v>27</v>
      </c>
      <c r="E119" s="1">
        <v>42</v>
      </c>
      <c r="F119" s="1">
        <v>3</v>
      </c>
      <c r="G119" s="13"/>
      <c r="H119" s="1">
        <v>144</v>
      </c>
      <c r="I119" s="1">
        <v>43</v>
      </c>
      <c r="J119" s="1" t="s">
        <v>138</v>
      </c>
      <c r="K119" s="1">
        <v>49</v>
      </c>
      <c r="L119" s="1">
        <v>1</v>
      </c>
      <c r="M119" s="1">
        <v>10</v>
      </c>
      <c r="N119" s="1"/>
      <c r="O119" t="s">
        <v>136</v>
      </c>
      <c r="P119" t="s">
        <v>81</v>
      </c>
      <c r="Q119">
        <v>11</v>
      </c>
      <c r="R119">
        <v>7</v>
      </c>
      <c r="S119">
        <v>5</v>
      </c>
      <c r="T119">
        <v>33</v>
      </c>
      <c r="U119">
        <v>-4</v>
      </c>
      <c r="Y119">
        <v>17.239999999999998</v>
      </c>
      <c r="Z119">
        <v>18.3</v>
      </c>
      <c r="AA119">
        <v>-3</v>
      </c>
      <c r="AG119" t="str">
        <f t="shared" si="8"/>
        <v>N</v>
      </c>
      <c r="AH119" t="str">
        <f t="shared" si="9"/>
        <v>No Catch</v>
      </c>
      <c r="AI119">
        <f t="shared" si="10"/>
        <v>0</v>
      </c>
      <c r="AJ119">
        <f t="shared" si="11"/>
        <v>1.0600000000000023</v>
      </c>
    </row>
    <row r="120" spans="1:36" x14ac:dyDescent="0.5">
      <c r="A120" s="1">
        <v>2</v>
      </c>
      <c r="B120" s="1" t="s">
        <v>202</v>
      </c>
      <c r="C120" s="1">
        <v>0</v>
      </c>
      <c r="D120" s="1">
        <v>27</v>
      </c>
      <c r="E120" s="1">
        <v>42</v>
      </c>
      <c r="F120" s="1">
        <v>3</v>
      </c>
      <c r="G120" s="13"/>
      <c r="H120" s="1">
        <v>145</v>
      </c>
      <c r="I120" s="1">
        <v>44</v>
      </c>
      <c r="J120" s="1" t="s">
        <v>7</v>
      </c>
      <c r="K120" s="1">
        <v>48</v>
      </c>
      <c r="L120" s="1">
        <v>2</v>
      </c>
      <c r="M120" s="1">
        <v>13</v>
      </c>
      <c r="N120" s="1"/>
      <c r="O120" t="s">
        <v>9</v>
      </c>
      <c r="P120" t="s">
        <v>139</v>
      </c>
      <c r="Q120">
        <v>11</v>
      </c>
      <c r="R120">
        <v>6</v>
      </c>
      <c r="S120">
        <v>5</v>
      </c>
      <c r="W120">
        <v>8.5</v>
      </c>
      <c r="X120">
        <v>9.89</v>
      </c>
      <c r="AA120">
        <v>0</v>
      </c>
      <c r="AC120" t="s">
        <v>193</v>
      </c>
      <c r="AD120" t="s">
        <v>37</v>
      </c>
      <c r="AE120">
        <v>26</v>
      </c>
      <c r="AF120">
        <v>4</v>
      </c>
      <c r="AG120" t="str">
        <f t="shared" si="8"/>
        <v>N</v>
      </c>
      <c r="AH120" t="str">
        <f t="shared" si="9"/>
        <v>No Catch</v>
      </c>
      <c r="AI120">
        <f t="shared" si="10"/>
        <v>1.3900000000000006</v>
      </c>
      <c r="AJ120">
        <f t="shared" si="11"/>
        <v>0</v>
      </c>
    </row>
    <row r="121" spans="1:36" x14ac:dyDescent="0.5">
      <c r="A121" s="1">
        <v>2</v>
      </c>
      <c r="B121" s="1" t="s">
        <v>202</v>
      </c>
      <c r="C121" s="1">
        <v>0</v>
      </c>
      <c r="D121" s="1">
        <v>27</v>
      </c>
      <c r="E121" s="1">
        <v>42</v>
      </c>
      <c r="F121" s="1">
        <v>3</v>
      </c>
      <c r="G121" s="13"/>
      <c r="H121" s="1">
        <v>146</v>
      </c>
      <c r="I121" s="1">
        <v>45</v>
      </c>
      <c r="J121" s="1" t="s">
        <v>7</v>
      </c>
      <c r="K121" s="1">
        <v>48</v>
      </c>
      <c r="L121" s="1">
        <v>3</v>
      </c>
      <c r="M121" s="1">
        <v>13</v>
      </c>
      <c r="N121" s="1"/>
      <c r="O121" t="s">
        <v>196</v>
      </c>
      <c r="Q121">
        <v>11</v>
      </c>
      <c r="R121">
        <v>7</v>
      </c>
      <c r="S121">
        <v>5</v>
      </c>
      <c r="W121">
        <v>12.71</v>
      </c>
      <c r="X121">
        <v>15.91</v>
      </c>
      <c r="AA121">
        <v>0</v>
      </c>
      <c r="AG121" t="str">
        <f t="shared" si="8"/>
        <v>N</v>
      </c>
      <c r="AH121" t="str">
        <f t="shared" si="9"/>
        <v>No Catch</v>
      </c>
      <c r="AI121">
        <f t="shared" si="10"/>
        <v>3.1999999999999993</v>
      </c>
      <c r="AJ121">
        <f t="shared" si="11"/>
        <v>0</v>
      </c>
    </row>
    <row r="122" spans="1:36" x14ac:dyDescent="0.5">
      <c r="A122" s="1">
        <v>2</v>
      </c>
      <c r="B122" s="1" t="s">
        <v>202</v>
      </c>
      <c r="C122" s="1">
        <v>1</v>
      </c>
      <c r="D122" s="1">
        <v>27</v>
      </c>
      <c r="E122" s="1">
        <v>42</v>
      </c>
      <c r="F122" s="1">
        <v>3</v>
      </c>
      <c r="G122" s="13"/>
      <c r="H122" s="1">
        <v>163</v>
      </c>
      <c r="I122" s="1">
        <v>46</v>
      </c>
      <c r="J122" s="1" t="s">
        <v>7</v>
      </c>
      <c r="K122" s="1">
        <v>20</v>
      </c>
      <c r="L122" s="1">
        <v>1</v>
      </c>
      <c r="M122" s="1">
        <v>10</v>
      </c>
      <c r="N122" s="1"/>
      <c r="O122" t="s">
        <v>9</v>
      </c>
      <c r="P122" t="s">
        <v>137</v>
      </c>
      <c r="Q122">
        <v>11</v>
      </c>
      <c r="R122">
        <v>6</v>
      </c>
      <c r="S122">
        <v>5</v>
      </c>
      <c r="W122">
        <v>3.99</v>
      </c>
      <c r="X122">
        <v>5.68</v>
      </c>
      <c r="AA122">
        <v>0</v>
      </c>
      <c r="AC122" t="s">
        <v>42</v>
      </c>
      <c r="AD122" t="s">
        <v>41</v>
      </c>
      <c r="AE122">
        <v>5</v>
      </c>
      <c r="AF122">
        <v>14</v>
      </c>
      <c r="AG122" t="str">
        <f t="shared" si="8"/>
        <v>N</v>
      </c>
      <c r="AH122" t="str">
        <f t="shared" si="9"/>
        <v>No Catch</v>
      </c>
      <c r="AI122">
        <f t="shared" si="10"/>
        <v>1.6899999999999995</v>
      </c>
      <c r="AJ122">
        <f t="shared" si="11"/>
        <v>0</v>
      </c>
    </row>
    <row r="123" spans="1:36" x14ac:dyDescent="0.5">
      <c r="A123" s="1">
        <v>2</v>
      </c>
      <c r="B123" s="1" t="s">
        <v>202</v>
      </c>
      <c r="C123" s="1">
        <v>0</v>
      </c>
      <c r="D123" s="1">
        <v>27</v>
      </c>
      <c r="E123" s="1">
        <v>42</v>
      </c>
      <c r="F123" s="1">
        <v>3</v>
      </c>
      <c r="G123" s="13"/>
      <c r="H123" s="1">
        <v>164</v>
      </c>
      <c r="I123" s="1">
        <v>47</v>
      </c>
      <c r="J123" s="1" t="s">
        <v>7</v>
      </c>
      <c r="K123" s="1">
        <v>20</v>
      </c>
      <c r="L123" s="1">
        <v>2</v>
      </c>
      <c r="M123" s="1">
        <v>10</v>
      </c>
      <c r="N123" s="1"/>
      <c r="O123" t="s">
        <v>141</v>
      </c>
      <c r="Q123">
        <v>11</v>
      </c>
      <c r="R123">
        <v>7</v>
      </c>
      <c r="S123">
        <v>5</v>
      </c>
      <c r="Y123">
        <v>9.77</v>
      </c>
      <c r="Z123">
        <v>11.95</v>
      </c>
      <c r="AA123">
        <v>8</v>
      </c>
      <c r="AG123" t="str">
        <f t="shared" si="8"/>
        <v>N</v>
      </c>
      <c r="AH123" t="str">
        <f t="shared" si="9"/>
        <v>No Catch</v>
      </c>
      <c r="AI123">
        <f t="shared" si="10"/>
        <v>0</v>
      </c>
      <c r="AJ123">
        <f t="shared" si="11"/>
        <v>2.1799999999999997</v>
      </c>
    </row>
    <row r="124" spans="1:36" x14ac:dyDescent="0.5">
      <c r="A124" s="1">
        <v>2</v>
      </c>
      <c r="B124" s="1" t="s">
        <v>202</v>
      </c>
      <c r="C124" s="1">
        <v>0</v>
      </c>
      <c r="D124" s="1">
        <v>27</v>
      </c>
      <c r="E124" s="1">
        <v>42</v>
      </c>
      <c r="F124" s="1">
        <v>3</v>
      </c>
      <c r="G124" s="13"/>
      <c r="H124" s="1">
        <v>165</v>
      </c>
      <c r="I124" s="1">
        <v>48</v>
      </c>
      <c r="J124" s="1" t="s">
        <v>7</v>
      </c>
      <c r="K124" s="1">
        <v>28</v>
      </c>
      <c r="L124" s="1">
        <v>3</v>
      </c>
      <c r="M124" s="1">
        <v>2</v>
      </c>
      <c r="N124" s="1"/>
      <c r="O124" t="s">
        <v>9</v>
      </c>
      <c r="P124" t="s">
        <v>139</v>
      </c>
      <c r="Q124">
        <v>11</v>
      </c>
      <c r="R124">
        <v>6</v>
      </c>
      <c r="S124">
        <v>5</v>
      </c>
      <c r="W124">
        <v>8.9600000000000009</v>
      </c>
      <c r="X124">
        <v>10.86</v>
      </c>
      <c r="AA124">
        <v>9</v>
      </c>
      <c r="AC124" t="s">
        <v>82</v>
      </c>
      <c r="AD124" t="s">
        <v>41</v>
      </c>
      <c r="AE124">
        <v>6</v>
      </c>
      <c r="AF124">
        <v>14</v>
      </c>
      <c r="AG124" t="str">
        <f t="shared" si="8"/>
        <v>Y</v>
      </c>
      <c r="AH124">
        <f t="shared" si="9"/>
        <v>3</v>
      </c>
      <c r="AI124">
        <f t="shared" si="10"/>
        <v>1.8999999999999986</v>
      </c>
      <c r="AJ124">
        <f t="shared" si="11"/>
        <v>0</v>
      </c>
    </row>
    <row r="125" spans="1:36" x14ac:dyDescent="0.5">
      <c r="A125" s="1">
        <v>2</v>
      </c>
      <c r="B125" s="1" t="s">
        <v>202</v>
      </c>
      <c r="C125" s="1">
        <v>0</v>
      </c>
      <c r="D125" s="1">
        <v>27</v>
      </c>
      <c r="E125" s="1">
        <v>42</v>
      </c>
      <c r="F125" s="1">
        <v>3</v>
      </c>
      <c r="G125" s="13"/>
      <c r="H125" s="1">
        <v>166</v>
      </c>
      <c r="I125" s="1">
        <v>49</v>
      </c>
      <c r="J125" s="1" t="s">
        <v>7</v>
      </c>
      <c r="K125" s="1">
        <v>37</v>
      </c>
      <c r="L125" s="1">
        <v>1</v>
      </c>
      <c r="M125" s="1">
        <v>10</v>
      </c>
      <c r="N125" s="1"/>
      <c r="O125" t="s">
        <v>136</v>
      </c>
      <c r="P125" t="s">
        <v>137</v>
      </c>
      <c r="Q125">
        <v>12</v>
      </c>
      <c r="R125">
        <v>7</v>
      </c>
      <c r="S125">
        <v>5</v>
      </c>
      <c r="T125">
        <v>33</v>
      </c>
      <c r="U125">
        <v>-1</v>
      </c>
      <c r="Y125">
        <v>8.6199999999999992</v>
      </c>
      <c r="Z125">
        <v>9.64</v>
      </c>
      <c r="AA125">
        <v>0</v>
      </c>
      <c r="AG125" t="str">
        <f t="shared" si="8"/>
        <v>N</v>
      </c>
      <c r="AH125" t="str">
        <f t="shared" si="9"/>
        <v>No Catch</v>
      </c>
      <c r="AI125">
        <f t="shared" si="10"/>
        <v>0</v>
      </c>
      <c r="AJ125">
        <f t="shared" si="11"/>
        <v>1.0200000000000014</v>
      </c>
    </row>
    <row r="126" spans="1:36" x14ac:dyDescent="0.5">
      <c r="A126" s="1">
        <v>2</v>
      </c>
      <c r="B126" s="1" t="s">
        <v>202</v>
      </c>
      <c r="C126" s="1">
        <v>0</v>
      </c>
      <c r="D126" s="1">
        <v>27</v>
      </c>
      <c r="E126" s="1">
        <v>42</v>
      </c>
      <c r="F126" s="1">
        <v>3</v>
      </c>
      <c r="G126" s="13"/>
      <c r="H126" s="1">
        <v>167</v>
      </c>
      <c r="I126" s="1">
        <v>50</v>
      </c>
      <c r="J126" s="1" t="s">
        <v>7</v>
      </c>
      <c r="K126" s="1">
        <v>37</v>
      </c>
      <c r="L126" s="1">
        <v>2</v>
      </c>
      <c r="M126" s="1">
        <v>10</v>
      </c>
      <c r="N126" s="1"/>
      <c r="O126" t="s">
        <v>196</v>
      </c>
      <c r="Q126">
        <v>11</v>
      </c>
      <c r="R126">
        <v>6</v>
      </c>
      <c r="S126">
        <v>5</v>
      </c>
      <c r="W126">
        <v>6.91</v>
      </c>
      <c r="X126">
        <v>8.68</v>
      </c>
      <c r="AA126">
        <v>-8</v>
      </c>
      <c r="AG126" t="str">
        <f t="shared" si="8"/>
        <v>N</v>
      </c>
      <c r="AH126" t="str">
        <f t="shared" si="9"/>
        <v>No Catch</v>
      </c>
      <c r="AI126">
        <f t="shared" si="10"/>
        <v>1.7699999999999996</v>
      </c>
      <c r="AJ126">
        <f t="shared" si="11"/>
        <v>0</v>
      </c>
    </row>
    <row r="127" spans="1:36" x14ac:dyDescent="0.5">
      <c r="A127" s="1">
        <v>2</v>
      </c>
      <c r="B127" s="1" t="s">
        <v>202</v>
      </c>
      <c r="C127" s="1">
        <v>0</v>
      </c>
      <c r="D127" s="1">
        <v>27</v>
      </c>
      <c r="E127" s="1">
        <v>42</v>
      </c>
      <c r="F127" s="1">
        <v>3</v>
      </c>
      <c r="G127" s="13"/>
      <c r="H127" s="1">
        <v>168</v>
      </c>
      <c r="I127" s="1">
        <v>51</v>
      </c>
      <c r="J127" s="1" t="s">
        <v>7</v>
      </c>
      <c r="K127" s="1">
        <v>29</v>
      </c>
      <c r="L127" s="1">
        <v>3</v>
      </c>
      <c r="M127" s="1">
        <v>18</v>
      </c>
      <c r="N127" s="1"/>
      <c r="O127" t="s">
        <v>9</v>
      </c>
      <c r="P127" t="s">
        <v>139</v>
      </c>
      <c r="Q127">
        <v>11</v>
      </c>
      <c r="R127">
        <v>6</v>
      </c>
      <c r="S127">
        <v>5</v>
      </c>
      <c r="W127">
        <v>7.4</v>
      </c>
      <c r="X127">
        <v>10.61</v>
      </c>
      <c r="AA127">
        <v>8</v>
      </c>
      <c r="AC127" t="s">
        <v>82</v>
      </c>
      <c r="AD127" t="s">
        <v>41</v>
      </c>
      <c r="AE127">
        <v>4</v>
      </c>
      <c r="AF127">
        <v>4</v>
      </c>
      <c r="AG127" t="str">
        <f t="shared" si="8"/>
        <v>N</v>
      </c>
      <c r="AH127">
        <f t="shared" si="9"/>
        <v>4</v>
      </c>
      <c r="AI127">
        <f t="shared" si="10"/>
        <v>3.2099999999999991</v>
      </c>
      <c r="AJ127">
        <f t="shared" si="11"/>
        <v>0</v>
      </c>
    </row>
    <row r="128" spans="1:36" x14ac:dyDescent="0.5">
      <c r="A128" s="1">
        <v>2</v>
      </c>
      <c r="B128" s="1" t="s">
        <v>202</v>
      </c>
      <c r="C128" s="1">
        <v>0</v>
      </c>
      <c r="D128" s="1">
        <v>27</v>
      </c>
      <c r="E128" s="1">
        <v>42</v>
      </c>
      <c r="F128" s="1">
        <v>3</v>
      </c>
      <c r="G128" s="13"/>
      <c r="H128" s="1">
        <v>170</v>
      </c>
      <c r="I128" s="1">
        <v>52</v>
      </c>
      <c r="J128" s="1" t="s">
        <v>7</v>
      </c>
      <c r="K128" s="1">
        <v>37</v>
      </c>
      <c r="L128" s="1">
        <v>4</v>
      </c>
      <c r="M128" s="1">
        <v>10</v>
      </c>
      <c r="N128" s="1"/>
      <c r="O128" t="s">
        <v>9</v>
      </c>
      <c r="P128" t="s">
        <v>137</v>
      </c>
      <c r="Q128">
        <v>11</v>
      </c>
      <c r="R128">
        <v>6</v>
      </c>
      <c r="S128">
        <v>5</v>
      </c>
      <c r="W128">
        <v>6.92</v>
      </c>
      <c r="X128">
        <v>10.53</v>
      </c>
      <c r="AA128">
        <v>0</v>
      </c>
      <c r="AC128" t="s">
        <v>193</v>
      </c>
      <c r="AD128" t="s">
        <v>41</v>
      </c>
      <c r="AE128">
        <v>11</v>
      </c>
      <c r="AF128">
        <v>14</v>
      </c>
      <c r="AG128" t="str">
        <f t="shared" si="8"/>
        <v>N</v>
      </c>
      <c r="AH128" t="str">
        <f t="shared" si="9"/>
        <v>No Catch</v>
      </c>
      <c r="AI128">
        <f t="shared" si="10"/>
        <v>3.6099999999999994</v>
      </c>
      <c r="AJ128">
        <f t="shared" si="11"/>
        <v>0</v>
      </c>
    </row>
    <row r="129" spans="1:36" x14ac:dyDescent="0.5">
      <c r="A129" s="1">
        <v>2</v>
      </c>
      <c r="B129" s="1" t="s">
        <v>202</v>
      </c>
      <c r="C129" s="1">
        <v>1</v>
      </c>
      <c r="D129" s="1">
        <v>27</v>
      </c>
      <c r="E129" s="1">
        <v>49</v>
      </c>
      <c r="F129" s="1">
        <v>4</v>
      </c>
      <c r="G129" s="13"/>
      <c r="H129" s="1">
        <v>175</v>
      </c>
      <c r="I129" s="1">
        <v>53</v>
      </c>
      <c r="J129" s="1" t="s">
        <v>7</v>
      </c>
      <c r="K129" s="1">
        <v>48</v>
      </c>
      <c r="L129" s="1">
        <v>1</v>
      </c>
      <c r="M129" s="1">
        <v>10</v>
      </c>
      <c r="N129" s="1"/>
      <c r="O129" t="s">
        <v>9</v>
      </c>
      <c r="P129" t="s">
        <v>137</v>
      </c>
      <c r="Q129">
        <v>11</v>
      </c>
      <c r="R129">
        <v>6</v>
      </c>
      <c r="S129">
        <v>5</v>
      </c>
      <c r="W129">
        <v>7.07</v>
      </c>
      <c r="X129">
        <v>8.33</v>
      </c>
      <c r="AA129">
        <v>0</v>
      </c>
      <c r="AC129" t="s">
        <v>42</v>
      </c>
      <c r="AD129" t="s">
        <v>41</v>
      </c>
      <c r="AE129">
        <v>8</v>
      </c>
      <c r="AF129">
        <v>14</v>
      </c>
      <c r="AG129" t="str">
        <f t="shared" si="8"/>
        <v>N</v>
      </c>
      <c r="AH129" t="str">
        <f t="shared" si="9"/>
        <v>No Catch</v>
      </c>
      <c r="AI129">
        <f t="shared" si="10"/>
        <v>1.2599999999999998</v>
      </c>
      <c r="AJ129">
        <f t="shared" si="11"/>
        <v>0</v>
      </c>
    </row>
    <row r="130" spans="1:36" x14ac:dyDescent="0.5">
      <c r="A130" s="1">
        <v>2</v>
      </c>
      <c r="B130" s="1" t="s">
        <v>202</v>
      </c>
      <c r="C130" s="1">
        <v>0</v>
      </c>
      <c r="D130" s="1">
        <v>27</v>
      </c>
      <c r="E130" s="1">
        <v>49</v>
      </c>
      <c r="F130" s="1">
        <v>4</v>
      </c>
      <c r="G130" s="13"/>
      <c r="H130" s="1">
        <v>176</v>
      </c>
      <c r="I130" s="1">
        <v>54</v>
      </c>
      <c r="J130" s="1" t="s">
        <v>7</v>
      </c>
      <c r="K130" s="1">
        <v>48</v>
      </c>
      <c r="L130" s="1">
        <v>2</v>
      </c>
      <c r="M130" s="1">
        <v>10</v>
      </c>
      <c r="N130" s="1"/>
      <c r="O130" t="s">
        <v>9</v>
      </c>
      <c r="P130" t="s">
        <v>137</v>
      </c>
      <c r="Q130">
        <v>11</v>
      </c>
      <c r="R130">
        <v>6</v>
      </c>
      <c r="S130">
        <v>5</v>
      </c>
      <c r="W130">
        <v>4.13</v>
      </c>
      <c r="X130">
        <v>6.52</v>
      </c>
      <c r="AA130">
        <v>0</v>
      </c>
      <c r="AB130" t="s">
        <v>33</v>
      </c>
      <c r="AC130" t="s">
        <v>193</v>
      </c>
      <c r="AD130" t="s">
        <v>40</v>
      </c>
      <c r="AE130">
        <v>13</v>
      </c>
      <c r="AF130">
        <v>82</v>
      </c>
      <c r="AG130" t="str">
        <f t="shared" si="8"/>
        <v>N</v>
      </c>
      <c r="AH130" t="str">
        <f t="shared" si="9"/>
        <v>No Catch</v>
      </c>
      <c r="AI130">
        <f t="shared" si="10"/>
        <v>2.3899999999999997</v>
      </c>
      <c r="AJ130">
        <f t="shared" si="11"/>
        <v>0</v>
      </c>
    </row>
    <row r="131" spans="1:36" x14ac:dyDescent="0.5">
      <c r="A131" s="1">
        <v>2</v>
      </c>
      <c r="B131" s="1" t="s">
        <v>202</v>
      </c>
      <c r="C131" s="1">
        <v>1</v>
      </c>
      <c r="D131" s="1">
        <v>27</v>
      </c>
      <c r="E131" s="1">
        <v>52</v>
      </c>
      <c r="F131" s="1">
        <v>4</v>
      </c>
      <c r="G131" s="13"/>
      <c r="H131" s="1">
        <v>184</v>
      </c>
      <c r="I131" s="1">
        <v>55</v>
      </c>
      <c r="J131" s="1" t="s">
        <v>7</v>
      </c>
      <c r="K131" s="1">
        <v>34</v>
      </c>
      <c r="L131" s="1">
        <v>1</v>
      </c>
      <c r="M131" s="1">
        <v>10</v>
      </c>
      <c r="N131" s="1"/>
      <c r="O131" t="s">
        <v>136</v>
      </c>
      <c r="P131" t="s">
        <v>137</v>
      </c>
      <c r="Q131">
        <v>11</v>
      </c>
      <c r="R131">
        <v>7</v>
      </c>
      <c r="S131">
        <v>5</v>
      </c>
      <c r="T131">
        <v>1</v>
      </c>
      <c r="U131">
        <v>10</v>
      </c>
      <c r="Y131">
        <v>4.74</v>
      </c>
      <c r="Z131">
        <v>7.81</v>
      </c>
      <c r="AA131">
        <v>11</v>
      </c>
      <c r="AG131" t="str">
        <f t="shared" si="8"/>
        <v>Y</v>
      </c>
      <c r="AH131" t="str">
        <f t="shared" si="9"/>
        <v>No Catch</v>
      </c>
      <c r="AI131">
        <f t="shared" si="10"/>
        <v>0</v>
      </c>
      <c r="AJ131">
        <f t="shared" si="11"/>
        <v>3.0699999999999994</v>
      </c>
    </row>
    <row r="132" spans="1:36" x14ac:dyDescent="0.5">
      <c r="A132" s="1">
        <v>2</v>
      </c>
      <c r="B132" s="1" t="s">
        <v>202</v>
      </c>
      <c r="C132" s="1">
        <v>0</v>
      </c>
      <c r="D132" s="1">
        <v>27</v>
      </c>
      <c r="E132" s="1">
        <v>52</v>
      </c>
      <c r="F132" s="1">
        <v>4</v>
      </c>
      <c r="G132" s="13"/>
      <c r="H132" s="1">
        <v>185</v>
      </c>
      <c r="I132" s="1">
        <v>56</v>
      </c>
      <c r="J132" s="1" t="s">
        <v>7</v>
      </c>
      <c r="K132" s="1">
        <v>45</v>
      </c>
      <c r="L132" s="1">
        <v>1</v>
      </c>
      <c r="M132" s="1">
        <v>10</v>
      </c>
      <c r="N132" s="1"/>
      <c r="O132" t="s">
        <v>9</v>
      </c>
      <c r="P132" t="s">
        <v>139</v>
      </c>
      <c r="Q132">
        <v>11</v>
      </c>
      <c r="R132">
        <v>7</v>
      </c>
      <c r="S132">
        <v>5</v>
      </c>
      <c r="W132">
        <v>6.23</v>
      </c>
      <c r="X132">
        <v>8.1199999999999992</v>
      </c>
      <c r="AA132">
        <v>5</v>
      </c>
      <c r="AC132" t="s">
        <v>82</v>
      </c>
      <c r="AD132" t="s">
        <v>41</v>
      </c>
      <c r="AE132">
        <v>5</v>
      </c>
      <c r="AF132">
        <v>14</v>
      </c>
      <c r="AG132" t="str">
        <f t="shared" si="8"/>
        <v>N</v>
      </c>
      <c r="AH132">
        <f t="shared" si="9"/>
        <v>0</v>
      </c>
      <c r="AI132">
        <f t="shared" si="10"/>
        <v>1.8899999999999988</v>
      </c>
      <c r="AJ132">
        <f t="shared" si="11"/>
        <v>0</v>
      </c>
    </row>
    <row r="133" spans="1:36" x14ac:dyDescent="0.5">
      <c r="A133" s="1">
        <v>2</v>
      </c>
      <c r="B133" s="1" t="s">
        <v>202</v>
      </c>
      <c r="C133" s="1">
        <v>0</v>
      </c>
      <c r="D133" s="1">
        <v>27</v>
      </c>
      <c r="E133" s="1">
        <v>52</v>
      </c>
      <c r="F133" s="1">
        <v>4</v>
      </c>
      <c r="G133" s="13"/>
      <c r="H133" s="1">
        <v>186</v>
      </c>
      <c r="I133" s="1">
        <v>57</v>
      </c>
      <c r="J133" s="1"/>
      <c r="K133" s="1">
        <v>50</v>
      </c>
      <c r="L133" s="1">
        <v>2</v>
      </c>
      <c r="M133" s="1">
        <v>5</v>
      </c>
      <c r="N133" s="1"/>
      <c r="O133" t="s">
        <v>9</v>
      </c>
      <c r="P133" t="s">
        <v>139</v>
      </c>
      <c r="Q133">
        <v>11</v>
      </c>
      <c r="R133">
        <v>8</v>
      </c>
      <c r="S133">
        <v>5</v>
      </c>
      <c r="W133">
        <v>6.02</v>
      </c>
      <c r="X133">
        <v>7.56</v>
      </c>
      <c r="AA133">
        <v>0</v>
      </c>
      <c r="AC133" t="s">
        <v>193</v>
      </c>
      <c r="AD133" t="s">
        <v>37</v>
      </c>
      <c r="AE133">
        <v>0</v>
      </c>
      <c r="AF133">
        <v>33</v>
      </c>
      <c r="AG133" t="str">
        <f t="shared" si="8"/>
        <v>N</v>
      </c>
      <c r="AH133" t="str">
        <f t="shared" si="9"/>
        <v>No Catch</v>
      </c>
      <c r="AI133">
        <f t="shared" si="10"/>
        <v>1.54</v>
      </c>
      <c r="AJ133">
        <f t="shared" si="11"/>
        <v>0</v>
      </c>
    </row>
    <row r="134" spans="1:36" x14ac:dyDescent="0.5">
      <c r="A134" s="1">
        <v>2</v>
      </c>
      <c r="B134" s="1" t="s">
        <v>202</v>
      </c>
      <c r="C134" s="1">
        <v>0</v>
      </c>
      <c r="D134" s="1">
        <v>27</v>
      </c>
      <c r="E134" s="1">
        <v>52</v>
      </c>
      <c r="F134" s="1">
        <v>4</v>
      </c>
      <c r="G134" s="13"/>
      <c r="H134" s="1">
        <v>187</v>
      </c>
      <c r="I134" s="1">
        <v>58</v>
      </c>
      <c r="J134" s="1"/>
      <c r="K134" s="1">
        <v>50</v>
      </c>
      <c r="L134" s="1">
        <v>3</v>
      </c>
      <c r="M134" s="1">
        <v>5</v>
      </c>
      <c r="N134" s="1"/>
      <c r="O134" t="s">
        <v>9</v>
      </c>
      <c r="P134" t="s">
        <v>81</v>
      </c>
      <c r="Q134">
        <v>11</v>
      </c>
      <c r="R134">
        <v>6</v>
      </c>
      <c r="S134">
        <v>5</v>
      </c>
      <c r="W134">
        <v>10.050000000000001</v>
      </c>
      <c r="X134">
        <v>11.12</v>
      </c>
      <c r="AA134">
        <v>0</v>
      </c>
      <c r="AC134" t="s">
        <v>193</v>
      </c>
      <c r="AD134" t="s">
        <v>37</v>
      </c>
      <c r="AE134">
        <v>5</v>
      </c>
      <c r="AF134" t="s">
        <v>207</v>
      </c>
      <c r="AG134" t="str">
        <f t="shared" si="8"/>
        <v>N</v>
      </c>
      <c r="AH134" t="str">
        <f t="shared" si="9"/>
        <v>No Catch</v>
      </c>
      <c r="AI134">
        <f t="shared" si="10"/>
        <v>1.0699999999999985</v>
      </c>
      <c r="AJ134">
        <f t="shared" si="11"/>
        <v>0</v>
      </c>
    </row>
    <row r="135" spans="1:36" x14ac:dyDescent="0.5">
      <c r="A135" s="1">
        <v>2</v>
      </c>
      <c r="B135" s="1" t="s">
        <v>202</v>
      </c>
      <c r="C135" s="1">
        <v>0</v>
      </c>
      <c r="D135" s="1">
        <v>27</v>
      </c>
      <c r="E135" s="1">
        <v>52</v>
      </c>
      <c r="F135" s="1">
        <v>4</v>
      </c>
      <c r="G135" s="13"/>
      <c r="H135" s="1">
        <v>188</v>
      </c>
      <c r="I135" s="1">
        <v>59</v>
      </c>
      <c r="J135" s="1"/>
      <c r="K135" s="1">
        <v>50</v>
      </c>
      <c r="L135" s="1">
        <v>4</v>
      </c>
      <c r="M135" s="1">
        <v>5</v>
      </c>
      <c r="N135" s="1"/>
      <c r="O135" t="s">
        <v>141</v>
      </c>
      <c r="Q135">
        <v>11</v>
      </c>
      <c r="R135">
        <v>7</v>
      </c>
      <c r="S135">
        <v>5</v>
      </c>
      <c r="AA135">
        <v>3</v>
      </c>
      <c r="AG135" t="str">
        <f t="shared" si="8"/>
        <v>N</v>
      </c>
      <c r="AH135" t="str">
        <f t="shared" si="9"/>
        <v>No Catch</v>
      </c>
      <c r="AI135">
        <f t="shared" si="10"/>
        <v>0</v>
      </c>
      <c r="AJ135">
        <f t="shared" si="11"/>
        <v>0</v>
      </c>
    </row>
    <row r="136" spans="1:36" x14ac:dyDescent="0.5">
      <c r="A136" s="1">
        <v>2</v>
      </c>
      <c r="B136" s="1" t="s">
        <v>202</v>
      </c>
      <c r="C136" s="1">
        <v>1</v>
      </c>
      <c r="D136" s="1">
        <v>27</v>
      </c>
      <c r="E136" s="1">
        <v>52</v>
      </c>
      <c r="F136" s="1">
        <v>4</v>
      </c>
      <c r="G136" s="13"/>
      <c r="H136" s="1">
        <v>194</v>
      </c>
      <c r="I136" s="1">
        <v>60</v>
      </c>
      <c r="J136" s="1" t="s">
        <v>7</v>
      </c>
      <c r="K136" s="1">
        <v>37</v>
      </c>
      <c r="L136" s="1">
        <v>1</v>
      </c>
      <c r="M136" s="1">
        <v>10</v>
      </c>
      <c r="N136" s="1"/>
      <c r="O136" t="s">
        <v>141</v>
      </c>
      <c r="Q136">
        <v>11</v>
      </c>
      <c r="R136">
        <v>6</v>
      </c>
      <c r="S136">
        <v>5</v>
      </c>
      <c r="AA136">
        <v>1</v>
      </c>
      <c r="AG136" t="str">
        <f t="shared" si="8"/>
        <v>N</v>
      </c>
      <c r="AH136" t="str">
        <f t="shared" si="9"/>
        <v>No Catch</v>
      </c>
      <c r="AI136">
        <f t="shared" si="10"/>
        <v>0</v>
      </c>
      <c r="AJ136">
        <f t="shared" si="11"/>
        <v>0</v>
      </c>
    </row>
    <row r="137" spans="1:36" x14ac:dyDescent="0.5">
      <c r="A137" s="1">
        <v>2</v>
      </c>
      <c r="B137" s="1" t="s">
        <v>202</v>
      </c>
      <c r="C137" s="1">
        <v>0</v>
      </c>
      <c r="D137" s="1">
        <v>27</v>
      </c>
      <c r="E137" s="1">
        <v>52</v>
      </c>
      <c r="F137" s="1">
        <v>4</v>
      </c>
      <c r="G137" s="13"/>
      <c r="H137" s="1">
        <v>195</v>
      </c>
      <c r="I137" s="1">
        <v>61</v>
      </c>
      <c r="J137" s="1" t="s">
        <v>7</v>
      </c>
      <c r="K137" s="1">
        <v>38</v>
      </c>
      <c r="L137" s="1">
        <v>2</v>
      </c>
      <c r="M137" s="1">
        <v>9</v>
      </c>
      <c r="N137" s="1"/>
      <c r="O137" t="s">
        <v>9</v>
      </c>
      <c r="P137" t="s">
        <v>81</v>
      </c>
      <c r="Q137">
        <v>11</v>
      </c>
      <c r="R137">
        <v>6</v>
      </c>
      <c r="S137">
        <v>5</v>
      </c>
      <c r="W137">
        <v>21.48</v>
      </c>
      <c r="X137">
        <v>24.05</v>
      </c>
      <c r="AA137">
        <v>16</v>
      </c>
      <c r="AC137" t="s">
        <v>82</v>
      </c>
      <c r="AD137" t="s">
        <v>41</v>
      </c>
      <c r="AE137">
        <v>16</v>
      </c>
      <c r="AF137">
        <v>82</v>
      </c>
      <c r="AG137" t="str">
        <f t="shared" si="8"/>
        <v>Y</v>
      </c>
      <c r="AH137">
        <f t="shared" si="9"/>
        <v>0</v>
      </c>
      <c r="AI137">
        <f t="shared" si="10"/>
        <v>2.5700000000000003</v>
      </c>
      <c r="AJ137">
        <f t="shared" si="11"/>
        <v>0</v>
      </c>
    </row>
    <row r="138" spans="1:36" x14ac:dyDescent="0.5">
      <c r="A138" s="1">
        <v>2</v>
      </c>
      <c r="B138" s="1" t="s">
        <v>202</v>
      </c>
      <c r="C138" s="1">
        <v>0</v>
      </c>
      <c r="D138" s="1">
        <v>27</v>
      </c>
      <c r="E138" s="1">
        <v>52</v>
      </c>
      <c r="F138" s="1">
        <v>4</v>
      </c>
      <c r="G138" s="13"/>
      <c r="H138" s="1">
        <v>196</v>
      </c>
      <c r="I138" s="1">
        <v>62</v>
      </c>
      <c r="J138" s="1" t="s">
        <v>138</v>
      </c>
      <c r="K138" s="1">
        <v>46</v>
      </c>
      <c r="L138" s="1">
        <v>1</v>
      </c>
      <c r="M138" s="1">
        <v>10</v>
      </c>
      <c r="N138" s="1"/>
      <c r="O138" t="s">
        <v>136</v>
      </c>
      <c r="P138" t="s">
        <v>137</v>
      </c>
      <c r="Q138">
        <v>11</v>
      </c>
      <c r="R138">
        <v>6</v>
      </c>
      <c r="S138">
        <v>5</v>
      </c>
      <c r="T138">
        <v>33</v>
      </c>
      <c r="U138">
        <v>2.5</v>
      </c>
      <c r="Y138">
        <v>1.08</v>
      </c>
      <c r="Z138">
        <v>3.07</v>
      </c>
      <c r="AA138">
        <v>4</v>
      </c>
      <c r="AG138" t="str">
        <f t="shared" si="8"/>
        <v>N</v>
      </c>
      <c r="AH138" t="str">
        <f t="shared" si="9"/>
        <v>No Catch</v>
      </c>
      <c r="AI138">
        <f t="shared" si="10"/>
        <v>0</v>
      </c>
      <c r="AJ138">
        <f t="shared" si="11"/>
        <v>1.9899999999999998</v>
      </c>
    </row>
    <row r="139" spans="1:36" x14ac:dyDescent="0.5">
      <c r="A139" s="1">
        <v>2</v>
      </c>
      <c r="B139" s="1" t="s">
        <v>202</v>
      </c>
      <c r="C139" s="1">
        <v>0</v>
      </c>
      <c r="D139" s="1">
        <v>27</v>
      </c>
      <c r="E139" s="1">
        <v>52</v>
      </c>
      <c r="F139" s="1">
        <v>4</v>
      </c>
      <c r="G139" s="13"/>
      <c r="H139" s="1">
        <v>197</v>
      </c>
      <c r="I139" s="1">
        <v>63</v>
      </c>
      <c r="J139" s="1" t="s">
        <v>138</v>
      </c>
      <c r="K139" s="1">
        <v>42</v>
      </c>
      <c r="L139" s="1">
        <v>2</v>
      </c>
      <c r="M139" s="1">
        <v>6</v>
      </c>
      <c r="N139" s="1"/>
      <c r="O139" t="s">
        <v>9</v>
      </c>
      <c r="P139" t="s">
        <v>139</v>
      </c>
      <c r="Q139">
        <v>11</v>
      </c>
      <c r="R139">
        <v>7</v>
      </c>
      <c r="S139">
        <v>5</v>
      </c>
      <c r="W139">
        <v>5.38</v>
      </c>
      <c r="X139">
        <v>10.86</v>
      </c>
      <c r="AA139">
        <v>0</v>
      </c>
      <c r="AC139" t="s">
        <v>193</v>
      </c>
      <c r="AD139" t="s">
        <v>40</v>
      </c>
      <c r="AE139">
        <v>16</v>
      </c>
      <c r="AF139">
        <v>6</v>
      </c>
      <c r="AG139" t="str">
        <f t="shared" si="8"/>
        <v>N</v>
      </c>
      <c r="AH139" t="str">
        <f t="shared" si="9"/>
        <v>No Catch</v>
      </c>
      <c r="AI139">
        <f t="shared" si="10"/>
        <v>5.4799999999999995</v>
      </c>
      <c r="AJ139">
        <f t="shared" si="11"/>
        <v>0</v>
      </c>
    </row>
    <row r="140" spans="1:36" x14ac:dyDescent="0.5">
      <c r="A140" s="1">
        <v>2</v>
      </c>
      <c r="B140" s="1" t="s">
        <v>202</v>
      </c>
      <c r="C140" s="1">
        <v>0</v>
      </c>
      <c r="D140" s="1">
        <v>27</v>
      </c>
      <c r="E140" s="1">
        <v>52</v>
      </c>
      <c r="F140" s="1">
        <v>4</v>
      </c>
      <c r="G140" s="13"/>
      <c r="H140" s="1">
        <v>198</v>
      </c>
      <c r="I140" s="1">
        <v>64</v>
      </c>
      <c r="J140" s="1" t="s">
        <v>138</v>
      </c>
      <c r="K140" s="1">
        <v>42</v>
      </c>
      <c r="L140" s="1">
        <v>3</v>
      </c>
      <c r="M140" s="1">
        <v>6</v>
      </c>
      <c r="N140" s="1"/>
      <c r="O140" t="s">
        <v>9</v>
      </c>
      <c r="P140" t="s">
        <v>81</v>
      </c>
      <c r="Q140">
        <v>11</v>
      </c>
      <c r="R140">
        <v>6</v>
      </c>
      <c r="S140">
        <v>5</v>
      </c>
      <c r="W140">
        <v>8.15</v>
      </c>
      <c r="X140">
        <v>10.09</v>
      </c>
      <c r="AA140">
        <v>5</v>
      </c>
      <c r="AC140" t="s">
        <v>82</v>
      </c>
      <c r="AD140" t="s">
        <v>41</v>
      </c>
      <c r="AE140">
        <v>5</v>
      </c>
      <c r="AF140">
        <v>14</v>
      </c>
      <c r="AG140" t="str">
        <f t="shared" si="8"/>
        <v>N</v>
      </c>
      <c r="AH140">
        <f t="shared" si="9"/>
        <v>0</v>
      </c>
      <c r="AI140">
        <f t="shared" si="10"/>
        <v>1.9399999999999995</v>
      </c>
      <c r="AJ140">
        <f t="shared" si="11"/>
        <v>0</v>
      </c>
    </row>
    <row r="141" spans="1:36" x14ac:dyDescent="0.5">
      <c r="A141" s="1">
        <v>2</v>
      </c>
      <c r="B141" s="1" t="s">
        <v>202</v>
      </c>
      <c r="C141" s="1">
        <v>0</v>
      </c>
      <c r="D141" s="1">
        <v>27</v>
      </c>
      <c r="E141" s="1">
        <v>52</v>
      </c>
      <c r="F141" s="1">
        <v>4</v>
      </c>
      <c r="G141" s="13"/>
      <c r="H141" s="1">
        <v>199</v>
      </c>
      <c r="I141" s="1">
        <v>65</v>
      </c>
      <c r="J141" s="1" t="s">
        <v>138</v>
      </c>
      <c r="K141" s="1">
        <v>37</v>
      </c>
      <c r="L141" s="1">
        <v>4</v>
      </c>
      <c r="M141" s="1">
        <v>1</v>
      </c>
      <c r="N141" s="1"/>
      <c r="O141" t="s">
        <v>9</v>
      </c>
      <c r="P141" t="s">
        <v>139</v>
      </c>
      <c r="Q141">
        <v>11</v>
      </c>
      <c r="R141">
        <v>6</v>
      </c>
      <c r="S141">
        <v>5</v>
      </c>
      <c r="W141">
        <v>7.01</v>
      </c>
      <c r="X141">
        <v>9.2899999999999991</v>
      </c>
      <c r="AA141">
        <v>4</v>
      </c>
      <c r="AC141" t="s">
        <v>82</v>
      </c>
      <c r="AD141" t="s">
        <v>41</v>
      </c>
      <c r="AE141">
        <v>4</v>
      </c>
      <c r="AF141">
        <v>82</v>
      </c>
      <c r="AG141" t="str">
        <f t="shared" si="8"/>
        <v>Y</v>
      </c>
      <c r="AH141">
        <f t="shared" si="9"/>
        <v>0</v>
      </c>
      <c r="AI141">
        <f t="shared" si="10"/>
        <v>2.2799999999999994</v>
      </c>
      <c r="AJ141">
        <f t="shared" si="11"/>
        <v>0</v>
      </c>
    </row>
    <row r="142" spans="1:36" x14ac:dyDescent="0.5">
      <c r="A142" s="1">
        <v>2</v>
      </c>
      <c r="B142" s="1" t="s">
        <v>202</v>
      </c>
      <c r="C142" s="1">
        <v>0</v>
      </c>
      <c r="D142" s="1">
        <v>27</v>
      </c>
      <c r="E142" s="1">
        <v>52</v>
      </c>
      <c r="F142" s="1">
        <v>4</v>
      </c>
      <c r="G142" s="13"/>
      <c r="H142" s="1">
        <v>200</v>
      </c>
      <c r="I142" s="1">
        <v>66</v>
      </c>
      <c r="J142" s="1" t="s">
        <v>138</v>
      </c>
      <c r="K142" s="1">
        <v>33</v>
      </c>
      <c r="L142" s="1">
        <v>1</v>
      </c>
      <c r="M142" s="1">
        <v>10</v>
      </c>
      <c r="N142" s="1" t="s">
        <v>200</v>
      </c>
      <c r="O142" t="s">
        <v>194</v>
      </c>
      <c r="AA142">
        <v>-10</v>
      </c>
      <c r="AG142" t="str">
        <f t="shared" ref="AG142:AG144" si="12">IF(OR(($M142-$AA142) &lt;=0,$AB142 = "TD"), "Y", "N")</f>
        <v>N</v>
      </c>
      <c r="AH142" t="str">
        <f t="shared" ref="AH142:AH144" si="13">IF($AC142="Catch",$AA142-$AE142,"No Catch")</f>
        <v>No Catch</v>
      </c>
      <c r="AI142">
        <f t="shared" ref="AI142:AI144" si="14">$X142-$W142</f>
        <v>0</v>
      </c>
      <c r="AJ142">
        <f t="shared" ref="AJ142:AJ144" si="15">$Z142-$Y142</f>
        <v>0</v>
      </c>
    </row>
    <row r="143" spans="1:36" x14ac:dyDescent="0.5">
      <c r="A143" s="1">
        <v>2</v>
      </c>
      <c r="B143" s="1" t="s">
        <v>202</v>
      </c>
      <c r="C143" s="1">
        <v>0</v>
      </c>
      <c r="D143" s="1">
        <v>27</v>
      </c>
      <c r="E143" s="1">
        <v>52</v>
      </c>
      <c r="F143" s="1">
        <v>4</v>
      </c>
      <c r="G143" s="13"/>
      <c r="H143" s="1">
        <v>202</v>
      </c>
      <c r="I143" s="1">
        <v>67</v>
      </c>
      <c r="J143" s="1" t="s">
        <v>138</v>
      </c>
      <c r="K143" s="1">
        <v>43</v>
      </c>
      <c r="L143" s="1">
        <v>1</v>
      </c>
      <c r="M143" s="1">
        <v>20</v>
      </c>
      <c r="N143" s="1"/>
      <c r="O143" t="s">
        <v>9</v>
      </c>
      <c r="P143" t="s">
        <v>139</v>
      </c>
      <c r="Q143">
        <v>11</v>
      </c>
      <c r="R143">
        <v>6</v>
      </c>
      <c r="S143">
        <v>5</v>
      </c>
      <c r="W143">
        <v>6.72</v>
      </c>
      <c r="X143">
        <v>8.4700000000000006</v>
      </c>
      <c r="AA143">
        <v>38</v>
      </c>
      <c r="AC143" t="s">
        <v>82</v>
      </c>
      <c r="AD143" t="s">
        <v>41</v>
      </c>
      <c r="AE143">
        <v>38</v>
      </c>
      <c r="AF143">
        <v>14</v>
      </c>
      <c r="AG143" t="str">
        <f t="shared" si="12"/>
        <v>Y</v>
      </c>
      <c r="AH143">
        <f t="shared" si="13"/>
        <v>0</v>
      </c>
      <c r="AI143">
        <f t="shared" si="14"/>
        <v>1.7500000000000009</v>
      </c>
      <c r="AJ143">
        <f t="shared" si="15"/>
        <v>0</v>
      </c>
    </row>
    <row r="144" spans="1:36" x14ac:dyDescent="0.5">
      <c r="A144" s="1">
        <v>2</v>
      </c>
      <c r="B144" s="1" t="s">
        <v>202</v>
      </c>
      <c r="C144" s="1">
        <v>0</v>
      </c>
      <c r="D144" s="1">
        <v>27</v>
      </c>
      <c r="E144" s="1">
        <v>52</v>
      </c>
      <c r="F144" s="1">
        <v>4</v>
      </c>
      <c r="G144" s="13"/>
      <c r="H144" s="1">
        <v>203</v>
      </c>
      <c r="I144" s="1">
        <v>68</v>
      </c>
      <c r="J144" s="1" t="s">
        <v>138</v>
      </c>
      <c r="K144" s="1">
        <v>5</v>
      </c>
      <c r="L144" s="1">
        <v>1</v>
      </c>
      <c r="M144" s="1">
        <v>5</v>
      </c>
      <c r="N144" s="1"/>
      <c r="O144" t="s">
        <v>9</v>
      </c>
      <c r="P144" t="s">
        <v>137</v>
      </c>
      <c r="Q144">
        <v>11</v>
      </c>
      <c r="R144">
        <v>6</v>
      </c>
      <c r="S144">
        <v>5</v>
      </c>
      <c r="W144">
        <v>10.81</v>
      </c>
      <c r="X144">
        <v>13.31</v>
      </c>
      <c r="AA144">
        <v>0</v>
      </c>
      <c r="AB144" t="s">
        <v>33</v>
      </c>
      <c r="AC144" t="s">
        <v>193</v>
      </c>
      <c r="AD144" t="s">
        <v>40</v>
      </c>
      <c r="AE144">
        <v>5</v>
      </c>
      <c r="AF144">
        <v>4</v>
      </c>
      <c r="AG144" t="str">
        <f t="shared" si="12"/>
        <v>N</v>
      </c>
      <c r="AH144" t="str">
        <f t="shared" si="13"/>
        <v>No Catch</v>
      </c>
      <c r="AI144">
        <f t="shared" si="14"/>
        <v>2.5</v>
      </c>
      <c r="AJ144">
        <f t="shared" si="15"/>
        <v>0</v>
      </c>
    </row>
    <row r="145" spans="1:36" x14ac:dyDescent="0.5">
      <c r="A145" s="1">
        <v>1</v>
      </c>
      <c r="B145" s="1" t="s">
        <v>208</v>
      </c>
      <c r="C145" s="1">
        <v>1</v>
      </c>
      <c r="D145" s="1">
        <v>0</v>
      </c>
      <c r="E145" s="1">
        <v>0</v>
      </c>
      <c r="F145" s="1">
        <v>1</v>
      </c>
      <c r="G145" s="13">
        <v>0.6166666666666667</v>
      </c>
      <c r="H145" s="1">
        <v>2</v>
      </c>
      <c r="I145" s="1">
        <v>1</v>
      </c>
      <c r="J145" s="1" t="s">
        <v>138</v>
      </c>
      <c r="K145" s="1">
        <v>26</v>
      </c>
      <c r="L145" s="1">
        <v>1</v>
      </c>
      <c r="M145" s="1">
        <v>10</v>
      </c>
      <c r="N145" s="1"/>
      <c r="O145" t="s">
        <v>136</v>
      </c>
      <c r="P145" t="s">
        <v>137</v>
      </c>
      <c r="Q145">
        <v>11</v>
      </c>
      <c r="R145">
        <v>7</v>
      </c>
      <c r="S145">
        <v>5</v>
      </c>
      <c r="T145">
        <v>33</v>
      </c>
      <c r="U145">
        <v>0</v>
      </c>
      <c r="V145">
        <v>0</v>
      </c>
      <c r="Y145">
        <v>5.51</v>
      </c>
      <c r="Z145">
        <v>6.21</v>
      </c>
      <c r="AA145">
        <v>4</v>
      </c>
      <c r="AG145" t="str">
        <f>IF(OR(($M145-$AA145) &lt;=0,$AB145 = "TD"), "Y", "N")</f>
        <v>N</v>
      </c>
      <c r="AH145" t="str">
        <f>IF($AC145="Catch",$AA145-$AE145,"No Catch")</f>
        <v>No Catch</v>
      </c>
      <c r="AI145">
        <f>$X145-$W145</f>
        <v>0</v>
      </c>
      <c r="AJ145">
        <f>$Z145-$Y145</f>
        <v>0.70000000000000018</v>
      </c>
    </row>
    <row r="146" spans="1:36" x14ac:dyDescent="0.5">
      <c r="A146" s="1">
        <v>1</v>
      </c>
      <c r="B146" s="1" t="s">
        <v>208</v>
      </c>
      <c r="C146" s="1">
        <v>0</v>
      </c>
      <c r="D146" s="1">
        <v>0</v>
      </c>
      <c r="E146" s="1">
        <v>0</v>
      </c>
      <c r="F146" s="1">
        <v>1</v>
      </c>
      <c r="G146" s="16">
        <v>0.60902777777777783</v>
      </c>
      <c r="H146">
        <v>3</v>
      </c>
      <c r="I146" s="1">
        <v>2</v>
      </c>
      <c r="J146" s="1" t="s">
        <v>138</v>
      </c>
      <c r="K146">
        <v>22</v>
      </c>
      <c r="L146">
        <v>2</v>
      </c>
      <c r="M146">
        <v>6</v>
      </c>
      <c r="O146" t="s">
        <v>9</v>
      </c>
      <c r="P146" t="s">
        <v>81</v>
      </c>
      <c r="Q146">
        <v>11</v>
      </c>
      <c r="R146">
        <v>6</v>
      </c>
      <c r="S146">
        <v>5</v>
      </c>
      <c r="V146">
        <v>0</v>
      </c>
      <c r="W146">
        <v>9.4700000000000006</v>
      </c>
      <c r="X146">
        <v>11</v>
      </c>
      <c r="AA146">
        <v>7</v>
      </c>
      <c r="AC146" t="s">
        <v>82</v>
      </c>
      <c r="AD146" t="s">
        <v>41</v>
      </c>
      <c r="AE146">
        <v>5</v>
      </c>
      <c r="AF146">
        <v>6</v>
      </c>
      <c r="AG146" t="str">
        <f t="shared" ref="AG146:AG209" si="16">IF(OR(($M146-$AA146) &lt;=0,$AB146 = "TD"), "Y", "N")</f>
        <v>Y</v>
      </c>
      <c r="AH146">
        <f t="shared" ref="AH146:AH209" si="17">IF($AC146="Catch",$AA146-$AE146,"No Catch")</f>
        <v>2</v>
      </c>
      <c r="AI146">
        <f t="shared" ref="AI146:AI209" si="18">$X146-$W146</f>
        <v>1.5299999999999994</v>
      </c>
      <c r="AJ146">
        <f t="shared" ref="AJ146:AJ209" si="19">$Z146-$Y146</f>
        <v>0</v>
      </c>
    </row>
    <row r="147" spans="1:36" x14ac:dyDescent="0.5">
      <c r="A147" s="1">
        <v>1</v>
      </c>
      <c r="B147" s="1" t="s">
        <v>208</v>
      </c>
      <c r="C147" s="1">
        <v>0</v>
      </c>
      <c r="D147" s="1">
        <v>0</v>
      </c>
      <c r="E147" s="1">
        <v>0</v>
      </c>
      <c r="F147" s="1">
        <v>1</v>
      </c>
      <c r="G147" s="16">
        <v>0.58611111111111114</v>
      </c>
      <c r="H147">
        <v>4</v>
      </c>
      <c r="I147" s="1">
        <v>3</v>
      </c>
      <c r="J147" s="1" t="s">
        <v>138</v>
      </c>
      <c r="K147">
        <v>15</v>
      </c>
      <c r="L147">
        <v>1</v>
      </c>
      <c r="M147">
        <v>10</v>
      </c>
      <c r="O147" t="s">
        <v>136</v>
      </c>
      <c r="P147" t="s">
        <v>137</v>
      </c>
      <c r="Q147">
        <v>11</v>
      </c>
      <c r="R147">
        <v>6</v>
      </c>
      <c r="S147">
        <v>5</v>
      </c>
      <c r="T147">
        <v>1</v>
      </c>
      <c r="U147">
        <v>3.5</v>
      </c>
      <c r="V147">
        <v>0</v>
      </c>
      <c r="Y147">
        <v>9.24</v>
      </c>
      <c r="Z147">
        <v>10.85</v>
      </c>
      <c r="AA147">
        <v>6</v>
      </c>
      <c r="AG147" t="str">
        <f t="shared" si="16"/>
        <v>N</v>
      </c>
      <c r="AH147" t="str">
        <f t="shared" si="17"/>
        <v>No Catch</v>
      </c>
      <c r="AI147">
        <f t="shared" si="18"/>
        <v>0</v>
      </c>
      <c r="AJ147">
        <f t="shared" si="19"/>
        <v>1.6099999999999994</v>
      </c>
    </row>
    <row r="148" spans="1:36" x14ac:dyDescent="0.5">
      <c r="A148" s="1">
        <v>1</v>
      </c>
      <c r="B148" s="1" t="s">
        <v>208</v>
      </c>
      <c r="C148" s="1">
        <v>0</v>
      </c>
      <c r="D148" s="1">
        <v>0</v>
      </c>
      <c r="E148" s="1">
        <v>0</v>
      </c>
      <c r="F148" s="1">
        <v>1</v>
      </c>
      <c r="G148" s="16">
        <v>0.56874999999999998</v>
      </c>
      <c r="H148">
        <v>5</v>
      </c>
      <c r="I148" s="1">
        <v>4</v>
      </c>
      <c r="J148" s="1" t="s">
        <v>138</v>
      </c>
      <c r="K148">
        <v>9</v>
      </c>
      <c r="L148">
        <v>2</v>
      </c>
      <c r="M148">
        <v>4</v>
      </c>
      <c r="O148" t="s">
        <v>136</v>
      </c>
      <c r="P148" t="s">
        <v>137</v>
      </c>
      <c r="Q148">
        <v>11</v>
      </c>
      <c r="R148">
        <v>7</v>
      </c>
      <c r="S148">
        <v>5</v>
      </c>
      <c r="T148">
        <v>1</v>
      </c>
      <c r="U148">
        <v>-3</v>
      </c>
      <c r="V148">
        <v>0</v>
      </c>
      <c r="Y148">
        <v>5.8</v>
      </c>
      <c r="Z148">
        <v>6.32</v>
      </c>
      <c r="AA148">
        <v>-2</v>
      </c>
      <c r="AG148" t="str">
        <f t="shared" si="16"/>
        <v>N</v>
      </c>
      <c r="AH148" t="str">
        <f t="shared" si="17"/>
        <v>No Catch</v>
      </c>
      <c r="AI148">
        <f t="shared" si="18"/>
        <v>0</v>
      </c>
      <c r="AJ148">
        <f t="shared" si="19"/>
        <v>0.52000000000000046</v>
      </c>
    </row>
    <row r="149" spans="1:36" x14ac:dyDescent="0.5">
      <c r="A149" s="1">
        <v>1</v>
      </c>
      <c r="B149" s="1" t="s">
        <v>208</v>
      </c>
      <c r="C149" s="1">
        <v>0</v>
      </c>
      <c r="D149" s="1">
        <v>0</v>
      </c>
      <c r="E149" s="1">
        <v>0</v>
      </c>
      <c r="F149" s="1">
        <v>1</v>
      </c>
      <c r="G149" s="16">
        <v>0.54999999999999993</v>
      </c>
      <c r="H149">
        <v>6</v>
      </c>
      <c r="I149" s="1">
        <v>5</v>
      </c>
      <c r="J149" s="1" t="s">
        <v>138</v>
      </c>
      <c r="K149">
        <v>11</v>
      </c>
      <c r="L149">
        <v>3</v>
      </c>
      <c r="M149">
        <v>6</v>
      </c>
      <c r="O149" t="s">
        <v>9</v>
      </c>
      <c r="P149" t="s">
        <v>81</v>
      </c>
      <c r="Q149">
        <v>11</v>
      </c>
      <c r="R149">
        <v>7</v>
      </c>
      <c r="S149">
        <v>5</v>
      </c>
      <c r="V149">
        <v>0</v>
      </c>
      <c r="W149">
        <v>12.02</v>
      </c>
      <c r="X149">
        <v>14.05</v>
      </c>
      <c r="AA149">
        <v>11</v>
      </c>
      <c r="AB149" t="s">
        <v>28</v>
      </c>
      <c r="AC149" t="s">
        <v>82</v>
      </c>
      <c r="AD149" t="s">
        <v>41</v>
      </c>
      <c r="AE149">
        <v>11</v>
      </c>
      <c r="AF149">
        <v>1</v>
      </c>
      <c r="AG149" t="str">
        <f t="shared" si="16"/>
        <v>Y</v>
      </c>
      <c r="AH149">
        <f t="shared" si="17"/>
        <v>0</v>
      </c>
      <c r="AI149">
        <f t="shared" si="18"/>
        <v>2.0300000000000011</v>
      </c>
      <c r="AJ149">
        <f t="shared" si="19"/>
        <v>0</v>
      </c>
    </row>
    <row r="150" spans="1:36" x14ac:dyDescent="0.5">
      <c r="A150" s="1">
        <v>1</v>
      </c>
      <c r="B150" s="1" t="s">
        <v>208</v>
      </c>
      <c r="C150">
        <v>1</v>
      </c>
      <c r="D150">
        <v>7</v>
      </c>
      <c r="E150">
        <v>0</v>
      </c>
      <c r="F150">
        <v>1</v>
      </c>
      <c r="G150" s="16">
        <v>0.38750000000000001</v>
      </c>
      <c r="H150">
        <v>16</v>
      </c>
      <c r="I150" s="1">
        <v>6</v>
      </c>
      <c r="J150" t="s">
        <v>7</v>
      </c>
      <c r="K150">
        <v>20</v>
      </c>
      <c r="L150">
        <v>1</v>
      </c>
      <c r="M150">
        <v>10</v>
      </c>
      <c r="O150" t="s">
        <v>9</v>
      </c>
      <c r="P150" t="s">
        <v>139</v>
      </c>
      <c r="Q150">
        <v>11</v>
      </c>
      <c r="R150">
        <v>7</v>
      </c>
      <c r="S150">
        <v>5</v>
      </c>
      <c r="V150">
        <v>0</v>
      </c>
      <c r="W150">
        <v>8.98</v>
      </c>
      <c r="X150">
        <v>10.25</v>
      </c>
      <c r="AA150">
        <v>8</v>
      </c>
      <c r="AC150" t="s">
        <v>82</v>
      </c>
      <c r="AD150" t="s">
        <v>41</v>
      </c>
      <c r="AE150">
        <v>5</v>
      </c>
      <c r="AF150">
        <v>6</v>
      </c>
      <c r="AG150" t="str">
        <f t="shared" si="16"/>
        <v>N</v>
      </c>
      <c r="AH150">
        <f t="shared" si="17"/>
        <v>3</v>
      </c>
      <c r="AI150">
        <f t="shared" si="18"/>
        <v>1.2699999999999996</v>
      </c>
      <c r="AJ150">
        <f t="shared" si="19"/>
        <v>0</v>
      </c>
    </row>
    <row r="151" spans="1:36" x14ac:dyDescent="0.5">
      <c r="A151" s="1">
        <v>1</v>
      </c>
      <c r="B151" s="1" t="s">
        <v>208</v>
      </c>
      <c r="C151" s="1">
        <v>0</v>
      </c>
      <c r="D151">
        <v>7</v>
      </c>
      <c r="E151">
        <v>0</v>
      </c>
      <c r="F151">
        <v>1</v>
      </c>
      <c r="G151" s="16">
        <v>0.37638888888888888</v>
      </c>
      <c r="H151">
        <v>17</v>
      </c>
      <c r="I151" s="1">
        <v>7</v>
      </c>
      <c r="J151" t="s">
        <v>7</v>
      </c>
      <c r="K151">
        <v>28</v>
      </c>
      <c r="L151">
        <v>2</v>
      </c>
      <c r="M151">
        <v>2</v>
      </c>
      <c r="O151" t="s">
        <v>209</v>
      </c>
      <c r="P151" t="s">
        <v>137</v>
      </c>
      <c r="Q151">
        <v>11</v>
      </c>
      <c r="R151">
        <v>7</v>
      </c>
      <c r="S151">
        <v>5</v>
      </c>
      <c r="T151">
        <v>5</v>
      </c>
      <c r="AA151">
        <v>-5</v>
      </c>
      <c r="AG151" t="str">
        <f t="shared" si="16"/>
        <v>N</v>
      </c>
      <c r="AH151" t="str">
        <f t="shared" si="17"/>
        <v>No Catch</v>
      </c>
      <c r="AI151">
        <f t="shared" si="18"/>
        <v>0</v>
      </c>
      <c r="AJ151">
        <f t="shared" si="19"/>
        <v>0</v>
      </c>
    </row>
    <row r="152" spans="1:36" x14ac:dyDescent="0.5">
      <c r="A152" s="1">
        <v>1</v>
      </c>
      <c r="B152" s="1" t="s">
        <v>208</v>
      </c>
      <c r="C152" s="1">
        <v>0</v>
      </c>
      <c r="D152">
        <v>7</v>
      </c>
      <c r="E152">
        <v>0</v>
      </c>
      <c r="F152">
        <v>1</v>
      </c>
      <c r="G152" s="16">
        <v>0.35972222222222222</v>
      </c>
      <c r="H152">
        <v>18</v>
      </c>
      <c r="I152" s="1">
        <v>8</v>
      </c>
      <c r="J152" t="s">
        <v>7</v>
      </c>
      <c r="K152">
        <v>23</v>
      </c>
      <c r="L152">
        <v>3</v>
      </c>
      <c r="M152">
        <v>7</v>
      </c>
      <c r="N152" t="s">
        <v>210</v>
      </c>
      <c r="O152" t="s">
        <v>194</v>
      </c>
      <c r="AA152">
        <v>5</v>
      </c>
      <c r="AG152" t="str">
        <f t="shared" si="16"/>
        <v>N</v>
      </c>
      <c r="AH152" t="str">
        <f t="shared" si="17"/>
        <v>No Catch</v>
      </c>
      <c r="AI152">
        <f t="shared" si="18"/>
        <v>0</v>
      </c>
      <c r="AJ152">
        <f t="shared" si="19"/>
        <v>0</v>
      </c>
    </row>
    <row r="153" spans="1:36" x14ac:dyDescent="0.5">
      <c r="A153" s="1">
        <v>1</v>
      </c>
      <c r="B153" s="1" t="s">
        <v>208</v>
      </c>
      <c r="C153" s="1">
        <v>0</v>
      </c>
      <c r="D153">
        <v>7</v>
      </c>
      <c r="E153">
        <v>0</v>
      </c>
      <c r="F153">
        <v>1</v>
      </c>
      <c r="G153" s="16">
        <v>0.3430555555555555</v>
      </c>
      <c r="H153">
        <v>19</v>
      </c>
      <c r="I153" s="1">
        <v>9</v>
      </c>
      <c r="J153" t="s">
        <v>7</v>
      </c>
      <c r="K153">
        <v>28</v>
      </c>
      <c r="L153">
        <v>3</v>
      </c>
      <c r="M153">
        <v>2</v>
      </c>
      <c r="O153" t="s">
        <v>9</v>
      </c>
      <c r="P153" t="s">
        <v>139</v>
      </c>
      <c r="Q153">
        <v>11</v>
      </c>
      <c r="R153">
        <v>6</v>
      </c>
      <c r="S153">
        <v>5</v>
      </c>
      <c r="W153">
        <v>8.33</v>
      </c>
      <c r="X153">
        <v>9.52</v>
      </c>
      <c r="AA153">
        <v>5</v>
      </c>
      <c r="AC153" t="s">
        <v>82</v>
      </c>
      <c r="AD153" t="s">
        <v>41</v>
      </c>
      <c r="AE153">
        <v>4</v>
      </c>
      <c r="AF153">
        <v>6</v>
      </c>
      <c r="AG153" t="str">
        <f t="shared" si="16"/>
        <v>Y</v>
      </c>
      <c r="AH153">
        <f t="shared" si="17"/>
        <v>1</v>
      </c>
      <c r="AI153">
        <f t="shared" si="18"/>
        <v>1.1899999999999995</v>
      </c>
      <c r="AJ153">
        <f t="shared" si="19"/>
        <v>0</v>
      </c>
    </row>
    <row r="154" spans="1:36" x14ac:dyDescent="0.5">
      <c r="A154" s="1">
        <v>1</v>
      </c>
      <c r="B154" s="1" t="s">
        <v>208</v>
      </c>
      <c r="C154" s="1">
        <v>0</v>
      </c>
      <c r="D154">
        <v>7</v>
      </c>
      <c r="E154">
        <v>0</v>
      </c>
      <c r="F154">
        <v>1</v>
      </c>
      <c r="G154" s="16">
        <v>0.33333333333333331</v>
      </c>
      <c r="H154">
        <v>20</v>
      </c>
      <c r="I154" s="1">
        <v>10</v>
      </c>
      <c r="J154" t="s">
        <v>7</v>
      </c>
      <c r="K154">
        <v>33</v>
      </c>
      <c r="L154">
        <v>1</v>
      </c>
      <c r="M154">
        <v>10</v>
      </c>
      <c r="O154" t="s">
        <v>136</v>
      </c>
      <c r="P154" t="s">
        <v>137</v>
      </c>
      <c r="Q154">
        <v>11</v>
      </c>
      <c r="R154">
        <v>7</v>
      </c>
      <c r="S154">
        <v>5</v>
      </c>
      <c r="T154">
        <v>33</v>
      </c>
      <c r="U154">
        <v>2</v>
      </c>
      <c r="V154">
        <v>0</v>
      </c>
      <c r="Y154">
        <v>8.75</v>
      </c>
      <c r="Z154">
        <v>10.43</v>
      </c>
      <c r="AA154">
        <v>4</v>
      </c>
      <c r="AG154" t="str">
        <f t="shared" si="16"/>
        <v>N</v>
      </c>
      <c r="AH154" t="str">
        <f t="shared" si="17"/>
        <v>No Catch</v>
      </c>
      <c r="AI154">
        <f t="shared" si="18"/>
        <v>0</v>
      </c>
      <c r="AJ154">
        <f t="shared" si="19"/>
        <v>1.6799999999999997</v>
      </c>
    </row>
    <row r="155" spans="1:36" x14ac:dyDescent="0.5">
      <c r="A155" s="1">
        <v>1</v>
      </c>
      <c r="B155" s="1" t="s">
        <v>208</v>
      </c>
      <c r="C155" s="1">
        <v>0</v>
      </c>
      <c r="D155">
        <v>7</v>
      </c>
      <c r="E155">
        <v>0</v>
      </c>
      <c r="F155">
        <v>1</v>
      </c>
      <c r="G155" s="16">
        <v>0.3125</v>
      </c>
      <c r="H155">
        <v>21</v>
      </c>
      <c r="I155" s="1">
        <v>11</v>
      </c>
      <c r="J155" t="s">
        <v>7</v>
      </c>
      <c r="K155">
        <v>37</v>
      </c>
      <c r="L155">
        <v>2</v>
      </c>
      <c r="M155">
        <v>6</v>
      </c>
      <c r="O155" t="s">
        <v>136</v>
      </c>
      <c r="P155" t="s">
        <v>137</v>
      </c>
      <c r="Q155">
        <v>11</v>
      </c>
      <c r="R155">
        <v>7</v>
      </c>
      <c r="S155">
        <v>5</v>
      </c>
      <c r="T155">
        <v>33</v>
      </c>
      <c r="U155">
        <v>1</v>
      </c>
      <c r="V155">
        <v>0</v>
      </c>
      <c r="Y155">
        <v>10.17</v>
      </c>
      <c r="Z155">
        <v>11.27</v>
      </c>
      <c r="AA155">
        <v>3</v>
      </c>
      <c r="AG155" t="str">
        <f t="shared" si="16"/>
        <v>N</v>
      </c>
      <c r="AH155" t="str">
        <f t="shared" si="17"/>
        <v>No Catch</v>
      </c>
      <c r="AI155">
        <f t="shared" si="18"/>
        <v>0</v>
      </c>
      <c r="AJ155">
        <f t="shared" si="19"/>
        <v>1.0999999999999996</v>
      </c>
    </row>
    <row r="156" spans="1:36" x14ac:dyDescent="0.5">
      <c r="A156" s="1">
        <v>1</v>
      </c>
      <c r="B156" s="1" t="s">
        <v>208</v>
      </c>
      <c r="C156" s="1">
        <v>0</v>
      </c>
      <c r="D156">
        <v>7</v>
      </c>
      <c r="E156">
        <v>0</v>
      </c>
      <c r="F156">
        <v>1</v>
      </c>
      <c r="G156" s="16">
        <v>0.28819444444444448</v>
      </c>
      <c r="H156">
        <v>22</v>
      </c>
      <c r="I156" s="1">
        <v>12</v>
      </c>
      <c r="J156" t="s">
        <v>7</v>
      </c>
      <c r="K156">
        <v>40</v>
      </c>
      <c r="L156">
        <v>3</v>
      </c>
      <c r="M156">
        <v>3</v>
      </c>
      <c r="O156" t="s">
        <v>9</v>
      </c>
      <c r="P156" t="s">
        <v>139</v>
      </c>
      <c r="Q156">
        <v>11</v>
      </c>
      <c r="R156">
        <v>7</v>
      </c>
      <c r="S156">
        <v>5</v>
      </c>
      <c r="W156">
        <v>6.29</v>
      </c>
      <c r="X156">
        <v>8.81</v>
      </c>
      <c r="AA156">
        <v>9</v>
      </c>
      <c r="AC156" t="s">
        <v>82</v>
      </c>
      <c r="AD156" t="s">
        <v>41</v>
      </c>
      <c r="AE156">
        <v>2</v>
      </c>
      <c r="AF156">
        <v>4</v>
      </c>
      <c r="AG156" t="str">
        <f t="shared" si="16"/>
        <v>Y</v>
      </c>
      <c r="AH156">
        <f t="shared" si="17"/>
        <v>7</v>
      </c>
      <c r="AI156">
        <f t="shared" si="18"/>
        <v>2.5200000000000005</v>
      </c>
      <c r="AJ156">
        <f t="shared" si="19"/>
        <v>0</v>
      </c>
    </row>
    <row r="157" spans="1:36" x14ac:dyDescent="0.5">
      <c r="A157" s="1">
        <v>1</v>
      </c>
      <c r="B157" s="1" t="s">
        <v>208</v>
      </c>
      <c r="C157" s="1">
        <v>0</v>
      </c>
      <c r="D157">
        <v>7</v>
      </c>
      <c r="E157">
        <v>0</v>
      </c>
      <c r="F157">
        <v>1</v>
      </c>
      <c r="G157" s="16">
        <v>0.26527777777777778</v>
      </c>
      <c r="H157">
        <v>23</v>
      </c>
      <c r="I157" s="1">
        <v>13</v>
      </c>
      <c r="J157" t="s">
        <v>7</v>
      </c>
      <c r="K157">
        <v>49</v>
      </c>
      <c r="L157">
        <v>1</v>
      </c>
      <c r="M157">
        <v>10</v>
      </c>
      <c r="O157" t="s">
        <v>136</v>
      </c>
      <c r="P157" t="s">
        <v>139</v>
      </c>
      <c r="Q157">
        <v>11</v>
      </c>
      <c r="R157">
        <v>7</v>
      </c>
      <c r="S157">
        <v>5</v>
      </c>
      <c r="T157">
        <v>1</v>
      </c>
      <c r="U157">
        <v>1</v>
      </c>
      <c r="V157">
        <v>0</v>
      </c>
      <c r="Y157">
        <v>9.8699999999999992</v>
      </c>
      <c r="Z157">
        <v>11.85</v>
      </c>
      <c r="AA157">
        <v>4</v>
      </c>
      <c r="AG157" t="str">
        <f t="shared" si="16"/>
        <v>N</v>
      </c>
      <c r="AH157" t="str">
        <f t="shared" si="17"/>
        <v>No Catch</v>
      </c>
      <c r="AI157">
        <f t="shared" si="18"/>
        <v>0</v>
      </c>
      <c r="AJ157">
        <f t="shared" si="19"/>
        <v>1.9800000000000004</v>
      </c>
    </row>
    <row r="158" spans="1:36" x14ac:dyDescent="0.5">
      <c r="A158" s="1">
        <v>1</v>
      </c>
      <c r="B158" s="1" t="s">
        <v>208</v>
      </c>
      <c r="C158" s="1">
        <v>0</v>
      </c>
      <c r="D158">
        <v>7</v>
      </c>
      <c r="E158">
        <v>0</v>
      </c>
      <c r="F158">
        <v>1</v>
      </c>
      <c r="G158" s="16">
        <v>0.24305555555555555</v>
      </c>
      <c r="H158">
        <v>24</v>
      </c>
      <c r="I158" s="1">
        <v>14</v>
      </c>
      <c r="J158" t="s">
        <v>138</v>
      </c>
      <c r="K158">
        <v>47</v>
      </c>
      <c r="L158">
        <v>2</v>
      </c>
      <c r="M158">
        <v>6</v>
      </c>
      <c r="O158" t="s">
        <v>9</v>
      </c>
      <c r="P158" t="s">
        <v>81</v>
      </c>
      <c r="Q158">
        <v>11</v>
      </c>
      <c r="R158">
        <v>7</v>
      </c>
      <c r="S158">
        <v>5</v>
      </c>
      <c r="W158">
        <v>9.25</v>
      </c>
      <c r="X158">
        <v>10.9</v>
      </c>
      <c r="AA158">
        <v>3</v>
      </c>
      <c r="AC158" t="s">
        <v>82</v>
      </c>
      <c r="AD158" t="s">
        <v>41</v>
      </c>
      <c r="AE158">
        <v>3</v>
      </c>
      <c r="AF158">
        <v>4</v>
      </c>
      <c r="AG158" t="str">
        <f t="shared" si="16"/>
        <v>N</v>
      </c>
      <c r="AH158">
        <f t="shared" si="17"/>
        <v>0</v>
      </c>
      <c r="AI158">
        <f t="shared" si="18"/>
        <v>1.6500000000000004</v>
      </c>
      <c r="AJ158">
        <f t="shared" si="19"/>
        <v>0</v>
      </c>
    </row>
    <row r="159" spans="1:36" x14ac:dyDescent="0.5">
      <c r="A159" s="1">
        <v>1</v>
      </c>
      <c r="B159" s="1" t="s">
        <v>208</v>
      </c>
      <c r="C159" s="1">
        <v>0</v>
      </c>
      <c r="D159">
        <v>7</v>
      </c>
      <c r="E159">
        <v>0</v>
      </c>
      <c r="F159">
        <v>1</v>
      </c>
      <c r="G159" s="16">
        <v>0.21944444444444444</v>
      </c>
      <c r="H159">
        <v>25</v>
      </c>
      <c r="I159" s="1">
        <v>15</v>
      </c>
      <c r="J159" t="s">
        <v>138</v>
      </c>
      <c r="K159">
        <v>44</v>
      </c>
      <c r="L159">
        <v>3</v>
      </c>
      <c r="M159">
        <v>3</v>
      </c>
      <c r="O159" t="s">
        <v>196</v>
      </c>
      <c r="Q159">
        <v>11</v>
      </c>
      <c r="R159">
        <v>8</v>
      </c>
      <c r="S159">
        <v>5</v>
      </c>
      <c r="W159">
        <v>12.25</v>
      </c>
      <c r="X159">
        <v>13.83</v>
      </c>
      <c r="AA159">
        <v>-7</v>
      </c>
      <c r="AG159" t="str">
        <f t="shared" si="16"/>
        <v>N</v>
      </c>
      <c r="AH159" t="str">
        <f t="shared" si="17"/>
        <v>No Catch</v>
      </c>
      <c r="AI159">
        <f t="shared" si="18"/>
        <v>1.58</v>
      </c>
      <c r="AJ159">
        <f t="shared" si="19"/>
        <v>0</v>
      </c>
    </row>
    <row r="160" spans="1:36" x14ac:dyDescent="0.5">
      <c r="A160" s="1">
        <v>1</v>
      </c>
      <c r="B160" s="1" t="s">
        <v>208</v>
      </c>
      <c r="C160">
        <v>1</v>
      </c>
      <c r="D160">
        <v>7</v>
      </c>
      <c r="E160">
        <v>0</v>
      </c>
      <c r="F160">
        <v>2</v>
      </c>
      <c r="G160" s="16">
        <v>0.57500000000000007</v>
      </c>
      <c r="H160">
        <v>40</v>
      </c>
      <c r="I160" s="1">
        <v>16</v>
      </c>
      <c r="J160" t="s">
        <v>7</v>
      </c>
      <c r="K160">
        <v>45</v>
      </c>
      <c r="L160">
        <v>1</v>
      </c>
      <c r="M160">
        <v>10</v>
      </c>
      <c r="O160" t="s">
        <v>136</v>
      </c>
      <c r="P160" t="s">
        <v>137</v>
      </c>
      <c r="Q160">
        <v>11</v>
      </c>
      <c r="R160">
        <v>6</v>
      </c>
      <c r="S160">
        <v>5</v>
      </c>
      <c r="T160">
        <v>1</v>
      </c>
      <c r="U160">
        <v>4</v>
      </c>
      <c r="Y160">
        <v>4.3600000000000003</v>
      </c>
      <c r="Z160">
        <v>5.94</v>
      </c>
      <c r="AA160">
        <v>7</v>
      </c>
      <c r="AG160" t="str">
        <f t="shared" si="16"/>
        <v>N</v>
      </c>
      <c r="AH160" t="str">
        <f t="shared" si="17"/>
        <v>No Catch</v>
      </c>
      <c r="AI160">
        <f t="shared" si="18"/>
        <v>0</v>
      </c>
      <c r="AJ160">
        <f t="shared" si="19"/>
        <v>1.58</v>
      </c>
    </row>
    <row r="161" spans="1:36" x14ac:dyDescent="0.5">
      <c r="A161" s="1">
        <v>1</v>
      </c>
      <c r="B161" s="1" t="s">
        <v>208</v>
      </c>
      <c r="C161" s="1">
        <v>0</v>
      </c>
      <c r="D161">
        <v>7</v>
      </c>
      <c r="E161">
        <v>0</v>
      </c>
      <c r="F161">
        <v>2</v>
      </c>
      <c r="G161" s="16">
        <v>0.56666666666666665</v>
      </c>
      <c r="H161">
        <v>41</v>
      </c>
      <c r="I161" s="1">
        <v>17</v>
      </c>
      <c r="J161" t="s">
        <v>138</v>
      </c>
      <c r="K161">
        <v>48</v>
      </c>
      <c r="L161">
        <v>2</v>
      </c>
      <c r="M161">
        <v>3</v>
      </c>
      <c r="O161" t="s">
        <v>136</v>
      </c>
      <c r="P161" t="s">
        <v>81</v>
      </c>
      <c r="Q161">
        <v>12</v>
      </c>
      <c r="R161">
        <v>7</v>
      </c>
      <c r="S161">
        <v>5</v>
      </c>
      <c r="T161">
        <v>1</v>
      </c>
      <c r="U161">
        <v>6</v>
      </c>
      <c r="Y161">
        <v>4.08</v>
      </c>
      <c r="Z161">
        <v>6.61</v>
      </c>
      <c r="AA161">
        <v>9</v>
      </c>
      <c r="AG161" t="str">
        <f t="shared" si="16"/>
        <v>Y</v>
      </c>
      <c r="AH161" t="str">
        <f t="shared" si="17"/>
        <v>No Catch</v>
      </c>
      <c r="AI161">
        <f t="shared" si="18"/>
        <v>0</v>
      </c>
      <c r="AJ161">
        <f t="shared" si="19"/>
        <v>2.5300000000000002</v>
      </c>
    </row>
    <row r="162" spans="1:36" x14ac:dyDescent="0.5">
      <c r="A162" s="1">
        <v>1</v>
      </c>
      <c r="B162" s="1" t="s">
        <v>208</v>
      </c>
      <c r="C162" s="1">
        <v>0</v>
      </c>
      <c r="D162">
        <v>7</v>
      </c>
      <c r="E162">
        <v>0</v>
      </c>
      <c r="F162">
        <v>2</v>
      </c>
      <c r="G162" s="16">
        <v>0.5541666666666667</v>
      </c>
      <c r="H162">
        <v>42</v>
      </c>
      <c r="I162" s="1">
        <v>18</v>
      </c>
      <c r="J162" t="s">
        <v>138</v>
      </c>
      <c r="K162">
        <v>39</v>
      </c>
      <c r="L162">
        <v>1</v>
      </c>
      <c r="M162">
        <v>10</v>
      </c>
      <c r="O162" t="s">
        <v>136</v>
      </c>
      <c r="P162" t="s">
        <v>137</v>
      </c>
      <c r="Q162">
        <v>12</v>
      </c>
      <c r="R162">
        <v>7</v>
      </c>
      <c r="S162">
        <v>5</v>
      </c>
      <c r="T162">
        <v>1</v>
      </c>
      <c r="U162">
        <v>1</v>
      </c>
      <c r="Y162">
        <v>1.52</v>
      </c>
      <c r="Z162">
        <v>3.06</v>
      </c>
      <c r="AA162">
        <v>2</v>
      </c>
      <c r="AG162" t="str">
        <f t="shared" si="16"/>
        <v>N</v>
      </c>
      <c r="AH162" t="str">
        <f t="shared" si="17"/>
        <v>No Catch</v>
      </c>
      <c r="AI162">
        <f t="shared" si="18"/>
        <v>0</v>
      </c>
      <c r="AJ162">
        <f t="shared" si="19"/>
        <v>1.54</v>
      </c>
    </row>
    <row r="163" spans="1:36" x14ac:dyDescent="0.5">
      <c r="A163" s="1">
        <v>1</v>
      </c>
      <c r="B163" s="1" t="s">
        <v>208</v>
      </c>
      <c r="C163" s="1">
        <v>0</v>
      </c>
      <c r="D163">
        <v>7</v>
      </c>
      <c r="E163">
        <v>0</v>
      </c>
      <c r="F163">
        <v>2</v>
      </c>
      <c r="G163" s="16">
        <v>0.54166666666666663</v>
      </c>
      <c r="H163">
        <v>43</v>
      </c>
      <c r="I163" s="1">
        <v>19</v>
      </c>
      <c r="J163" t="s">
        <v>138</v>
      </c>
      <c r="K163">
        <v>37</v>
      </c>
      <c r="L163">
        <v>2</v>
      </c>
      <c r="M163">
        <v>8</v>
      </c>
      <c r="O163" t="s">
        <v>209</v>
      </c>
      <c r="S163">
        <v>5</v>
      </c>
      <c r="AB163" t="s">
        <v>211</v>
      </c>
      <c r="AG163" t="str">
        <f t="shared" si="16"/>
        <v>N</v>
      </c>
      <c r="AH163" t="str">
        <f t="shared" si="17"/>
        <v>No Catch</v>
      </c>
      <c r="AI163">
        <f t="shared" si="18"/>
        <v>0</v>
      </c>
      <c r="AJ163">
        <f t="shared" si="19"/>
        <v>0</v>
      </c>
    </row>
    <row r="164" spans="1:36" x14ac:dyDescent="0.5">
      <c r="A164" s="1">
        <v>1</v>
      </c>
      <c r="B164" s="1" t="s">
        <v>208</v>
      </c>
      <c r="C164">
        <v>1</v>
      </c>
      <c r="D164">
        <v>7</v>
      </c>
      <c r="E164">
        <v>3</v>
      </c>
      <c r="F164">
        <v>2</v>
      </c>
      <c r="G164" s="16">
        <v>0.38541666666666669</v>
      </c>
      <c r="H164">
        <v>52</v>
      </c>
      <c r="I164" s="1">
        <v>20</v>
      </c>
      <c r="J164" t="s">
        <v>7</v>
      </c>
      <c r="K164">
        <v>37</v>
      </c>
      <c r="L164">
        <v>1</v>
      </c>
      <c r="M164">
        <v>10</v>
      </c>
      <c r="O164" t="s">
        <v>9</v>
      </c>
      <c r="P164" t="s">
        <v>139</v>
      </c>
      <c r="Q164">
        <v>11</v>
      </c>
      <c r="R164">
        <v>6</v>
      </c>
      <c r="S164">
        <v>5</v>
      </c>
      <c r="W164">
        <v>8.4</v>
      </c>
      <c r="X164">
        <v>11.29</v>
      </c>
      <c r="AA164">
        <v>4</v>
      </c>
      <c r="AC164" t="s">
        <v>82</v>
      </c>
      <c r="AD164" t="s">
        <v>41</v>
      </c>
      <c r="AE164">
        <v>0</v>
      </c>
      <c r="AF164">
        <v>84</v>
      </c>
      <c r="AG164" t="str">
        <f t="shared" si="16"/>
        <v>N</v>
      </c>
      <c r="AH164">
        <f t="shared" si="17"/>
        <v>4</v>
      </c>
      <c r="AI164">
        <f t="shared" si="18"/>
        <v>2.8899999999999988</v>
      </c>
      <c r="AJ164">
        <f t="shared" si="19"/>
        <v>0</v>
      </c>
    </row>
    <row r="165" spans="1:36" x14ac:dyDescent="0.5">
      <c r="A165" s="1">
        <v>1</v>
      </c>
      <c r="B165" s="1" t="s">
        <v>208</v>
      </c>
      <c r="C165" s="1">
        <v>0</v>
      </c>
      <c r="D165">
        <v>7</v>
      </c>
      <c r="E165">
        <v>3</v>
      </c>
      <c r="F165">
        <v>2</v>
      </c>
      <c r="G165" s="16">
        <v>0.37152777777777773</v>
      </c>
      <c r="H165">
        <v>53</v>
      </c>
      <c r="I165" s="1">
        <v>21</v>
      </c>
      <c r="J165" t="s">
        <v>7</v>
      </c>
      <c r="K165">
        <v>41</v>
      </c>
      <c r="L165">
        <v>2</v>
      </c>
      <c r="M165">
        <v>6</v>
      </c>
      <c r="O165" t="s">
        <v>136</v>
      </c>
      <c r="P165" t="s">
        <v>137</v>
      </c>
      <c r="Q165">
        <v>11</v>
      </c>
      <c r="R165">
        <v>7</v>
      </c>
      <c r="S165">
        <v>5</v>
      </c>
      <c r="T165">
        <v>33</v>
      </c>
      <c r="U165">
        <v>1</v>
      </c>
      <c r="Y165">
        <v>8.91</v>
      </c>
      <c r="Z165">
        <v>9.99</v>
      </c>
      <c r="AA165">
        <v>3</v>
      </c>
      <c r="AG165" t="str">
        <f t="shared" si="16"/>
        <v>N</v>
      </c>
      <c r="AH165" t="str">
        <f t="shared" si="17"/>
        <v>No Catch</v>
      </c>
      <c r="AI165">
        <f t="shared" si="18"/>
        <v>0</v>
      </c>
      <c r="AJ165">
        <f t="shared" si="19"/>
        <v>1.08</v>
      </c>
    </row>
    <row r="166" spans="1:36" x14ac:dyDescent="0.5">
      <c r="A166" s="1">
        <v>1</v>
      </c>
      <c r="B166" s="1" t="s">
        <v>208</v>
      </c>
      <c r="C166" s="1">
        <v>0</v>
      </c>
      <c r="D166">
        <v>7</v>
      </c>
      <c r="E166">
        <v>3</v>
      </c>
      <c r="F166">
        <v>2</v>
      </c>
      <c r="G166" s="16">
        <v>0.34722222222222227</v>
      </c>
      <c r="H166">
        <v>54</v>
      </c>
      <c r="I166" s="1">
        <v>22</v>
      </c>
      <c r="J166" t="s">
        <v>7</v>
      </c>
      <c r="K166">
        <v>44</v>
      </c>
      <c r="L166">
        <v>3</v>
      </c>
      <c r="M166">
        <v>3</v>
      </c>
      <c r="O166" t="s">
        <v>141</v>
      </c>
      <c r="P166" t="s">
        <v>137</v>
      </c>
      <c r="Q166">
        <v>11</v>
      </c>
      <c r="R166">
        <v>7</v>
      </c>
      <c r="S166">
        <v>5</v>
      </c>
      <c r="T166">
        <v>5</v>
      </c>
      <c r="AA166">
        <v>1</v>
      </c>
      <c r="AG166" t="str">
        <f t="shared" si="16"/>
        <v>N</v>
      </c>
      <c r="AH166" t="str">
        <f t="shared" si="17"/>
        <v>No Catch</v>
      </c>
      <c r="AI166">
        <f t="shared" si="18"/>
        <v>0</v>
      </c>
      <c r="AJ166">
        <f t="shared" si="19"/>
        <v>0</v>
      </c>
    </row>
    <row r="167" spans="1:36" x14ac:dyDescent="0.5">
      <c r="A167" s="1">
        <v>1</v>
      </c>
      <c r="B167" s="1" t="s">
        <v>208</v>
      </c>
      <c r="C167">
        <v>1</v>
      </c>
      <c r="D167">
        <v>7</v>
      </c>
      <c r="E167">
        <v>3</v>
      </c>
      <c r="F167">
        <v>2</v>
      </c>
      <c r="G167" s="16">
        <v>0.19513888888888889</v>
      </c>
      <c r="H167">
        <v>60</v>
      </c>
      <c r="I167" s="1">
        <v>23</v>
      </c>
      <c r="J167" t="s">
        <v>7</v>
      </c>
      <c r="K167">
        <v>25</v>
      </c>
      <c r="L167">
        <v>1</v>
      </c>
      <c r="M167">
        <v>10</v>
      </c>
      <c r="O167" t="s">
        <v>9</v>
      </c>
      <c r="P167" t="s">
        <v>139</v>
      </c>
      <c r="Q167">
        <v>11</v>
      </c>
      <c r="R167">
        <v>7</v>
      </c>
      <c r="S167">
        <v>5</v>
      </c>
      <c r="W167">
        <v>11.2</v>
      </c>
      <c r="X167">
        <v>13.24</v>
      </c>
      <c r="AA167">
        <v>0</v>
      </c>
      <c r="AC167" t="s">
        <v>42</v>
      </c>
      <c r="AD167" t="s">
        <v>41</v>
      </c>
      <c r="AE167">
        <v>10</v>
      </c>
      <c r="AF167">
        <v>1</v>
      </c>
      <c r="AG167" t="str">
        <f t="shared" si="16"/>
        <v>N</v>
      </c>
      <c r="AH167" t="str">
        <f t="shared" si="17"/>
        <v>No Catch</v>
      </c>
      <c r="AI167">
        <f t="shared" si="18"/>
        <v>2.0400000000000009</v>
      </c>
      <c r="AJ167">
        <f t="shared" si="19"/>
        <v>0</v>
      </c>
    </row>
    <row r="168" spans="1:36" x14ac:dyDescent="0.5">
      <c r="A168" s="1">
        <v>1</v>
      </c>
      <c r="B168" s="1" t="s">
        <v>208</v>
      </c>
      <c r="C168" s="1">
        <v>0</v>
      </c>
      <c r="D168">
        <v>7</v>
      </c>
      <c r="E168">
        <v>3</v>
      </c>
      <c r="F168">
        <v>2</v>
      </c>
      <c r="G168" s="16">
        <v>0.19166666666666665</v>
      </c>
      <c r="H168">
        <v>61</v>
      </c>
      <c r="I168" s="1">
        <v>24</v>
      </c>
      <c r="J168" t="s">
        <v>7</v>
      </c>
      <c r="K168">
        <v>25</v>
      </c>
      <c r="L168">
        <v>2</v>
      </c>
      <c r="M168">
        <v>10</v>
      </c>
      <c r="O168" t="s">
        <v>136</v>
      </c>
      <c r="P168" t="s">
        <v>139</v>
      </c>
      <c r="Q168">
        <v>11</v>
      </c>
      <c r="R168">
        <v>7</v>
      </c>
      <c r="S168">
        <v>5</v>
      </c>
      <c r="T168">
        <v>1</v>
      </c>
      <c r="U168">
        <v>2</v>
      </c>
      <c r="Y168">
        <v>3.47</v>
      </c>
      <c r="Z168">
        <v>5.81</v>
      </c>
      <c r="AA168">
        <v>6</v>
      </c>
      <c r="AG168" t="str">
        <f t="shared" si="16"/>
        <v>N</v>
      </c>
      <c r="AH168" t="str">
        <f t="shared" si="17"/>
        <v>No Catch</v>
      </c>
      <c r="AI168">
        <f t="shared" si="18"/>
        <v>0</v>
      </c>
      <c r="AJ168">
        <f t="shared" si="19"/>
        <v>2.3399999999999994</v>
      </c>
    </row>
    <row r="169" spans="1:36" x14ac:dyDescent="0.5">
      <c r="A169" s="1">
        <v>1</v>
      </c>
      <c r="B169" s="1" t="s">
        <v>208</v>
      </c>
      <c r="C169" s="1">
        <v>0</v>
      </c>
      <c r="D169">
        <v>7</v>
      </c>
      <c r="E169">
        <v>3</v>
      </c>
      <c r="F169">
        <v>2</v>
      </c>
      <c r="G169" s="16">
        <v>0.17916666666666667</v>
      </c>
      <c r="H169">
        <v>62</v>
      </c>
      <c r="I169" s="1">
        <v>25</v>
      </c>
      <c r="J169" t="s">
        <v>7</v>
      </c>
      <c r="K169">
        <v>31</v>
      </c>
      <c r="L169">
        <v>3</v>
      </c>
      <c r="M169">
        <v>4</v>
      </c>
      <c r="N169" t="s">
        <v>210</v>
      </c>
      <c r="O169" t="s">
        <v>194</v>
      </c>
      <c r="AA169">
        <v>5</v>
      </c>
      <c r="AG169" t="str">
        <f t="shared" si="16"/>
        <v>Y</v>
      </c>
      <c r="AH169" t="str">
        <f t="shared" si="17"/>
        <v>No Catch</v>
      </c>
      <c r="AI169">
        <f t="shared" si="18"/>
        <v>0</v>
      </c>
      <c r="AJ169">
        <f t="shared" si="19"/>
        <v>0</v>
      </c>
    </row>
    <row r="170" spans="1:36" x14ac:dyDescent="0.5">
      <c r="A170" s="1">
        <v>1</v>
      </c>
      <c r="B170" s="1" t="s">
        <v>208</v>
      </c>
      <c r="C170" s="1">
        <v>0</v>
      </c>
      <c r="D170">
        <v>7</v>
      </c>
      <c r="E170">
        <v>3</v>
      </c>
      <c r="F170">
        <v>2</v>
      </c>
      <c r="G170" s="16">
        <v>0.16805555555555554</v>
      </c>
      <c r="H170">
        <v>63</v>
      </c>
      <c r="I170" s="1">
        <v>26</v>
      </c>
      <c r="J170" t="s">
        <v>7</v>
      </c>
      <c r="K170">
        <v>36</v>
      </c>
      <c r="L170">
        <v>1</v>
      </c>
      <c r="M170">
        <v>10</v>
      </c>
      <c r="O170" t="s">
        <v>212</v>
      </c>
      <c r="AG170" t="str">
        <f t="shared" si="16"/>
        <v>N</v>
      </c>
      <c r="AH170" t="str">
        <f t="shared" si="17"/>
        <v>No Catch</v>
      </c>
      <c r="AI170">
        <f t="shared" si="18"/>
        <v>0</v>
      </c>
      <c r="AJ170">
        <f t="shared" si="19"/>
        <v>0</v>
      </c>
    </row>
    <row r="171" spans="1:36" x14ac:dyDescent="0.5">
      <c r="A171" s="1">
        <v>1</v>
      </c>
      <c r="B171" s="1" t="s">
        <v>208</v>
      </c>
      <c r="C171" s="1">
        <v>0</v>
      </c>
      <c r="D171">
        <v>7</v>
      </c>
      <c r="E171">
        <v>3</v>
      </c>
      <c r="F171">
        <v>2</v>
      </c>
      <c r="G171" s="16">
        <v>0.16805555555555554</v>
      </c>
      <c r="H171">
        <v>64</v>
      </c>
      <c r="I171" s="1">
        <v>27</v>
      </c>
      <c r="J171" t="s">
        <v>7</v>
      </c>
      <c r="K171">
        <v>36</v>
      </c>
      <c r="L171">
        <v>1</v>
      </c>
      <c r="M171">
        <v>10</v>
      </c>
      <c r="O171" t="s">
        <v>136</v>
      </c>
      <c r="P171" t="s">
        <v>137</v>
      </c>
      <c r="Q171">
        <v>11</v>
      </c>
      <c r="R171">
        <v>7</v>
      </c>
      <c r="S171">
        <v>5</v>
      </c>
      <c r="T171">
        <v>1</v>
      </c>
      <c r="U171">
        <v>1</v>
      </c>
      <c r="Y171">
        <v>15.32</v>
      </c>
      <c r="Z171">
        <v>17.22</v>
      </c>
      <c r="AA171">
        <v>5</v>
      </c>
      <c r="AG171" t="str">
        <f t="shared" si="16"/>
        <v>N</v>
      </c>
      <c r="AH171" t="str">
        <f t="shared" si="17"/>
        <v>No Catch</v>
      </c>
      <c r="AI171">
        <f t="shared" si="18"/>
        <v>0</v>
      </c>
      <c r="AJ171">
        <f t="shared" si="19"/>
        <v>1.8999999999999986</v>
      </c>
    </row>
    <row r="172" spans="1:36" x14ac:dyDescent="0.5">
      <c r="A172" s="1">
        <v>1</v>
      </c>
      <c r="B172" s="1" t="s">
        <v>208</v>
      </c>
      <c r="C172" s="1">
        <v>0</v>
      </c>
      <c r="D172">
        <v>7</v>
      </c>
      <c r="E172">
        <v>3</v>
      </c>
      <c r="F172">
        <v>2</v>
      </c>
      <c r="G172" s="16">
        <v>0.15694444444444444</v>
      </c>
      <c r="H172">
        <v>65</v>
      </c>
      <c r="I172" s="1">
        <v>28</v>
      </c>
      <c r="J172" t="s">
        <v>7</v>
      </c>
      <c r="K172">
        <v>41</v>
      </c>
      <c r="L172">
        <v>2</v>
      </c>
      <c r="M172">
        <v>5</v>
      </c>
      <c r="O172" t="s">
        <v>9</v>
      </c>
      <c r="P172" t="s">
        <v>81</v>
      </c>
      <c r="Q172">
        <v>11</v>
      </c>
      <c r="R172">
        <v>7</v>
      </c>
      <c r="S172">
        <v>5</v>
      </c>
      <c r="W172">
        <v>6.44</v>
      </c>
      <c r="X172">
        <v>7.69</v>
      </c>
      <c r="AA172">
        <v>5</v>
      </c>
      <c r="AC172" t="s">
        <v>82</v>
      </c>
      <c r="AD172" t="s">
        <v>41</v>
      </c>
      <c r="AE172">
        <v>5</v>
      </c>
      <c r="AF172">
        <v>6</v>
      </c>
      <c r="AG172" t="str">
        <f t="shared" si="16"/>
        <v>Y</v>
      </c>
      <c r="AH172">
        <f t="shared" si="17"/>
        <v>0</v>
      </c>
      <c r="AI172">
        <f t="shared" si="18"/>
        <v>1.25</v>
      </c>
      <c r="AJ172">
        <f t="shared" si="19"/>
        <v>0</v>
      </c>
    </row>
    <row r="173" spans="1:36" x14ac:dyDescent="0.5">
      <c r="A173" s="1">
        <v>1</v>
      </c>
      <c r="B173" s="1" t="s">
        <v>208</v>
      </c>
      <c r="C173" s="1">
        <v>0</v>
      </c>
      <c r="D173">
        <v>7</v>
      </c>
      <c r="E173">
        <v>3</v>
      </c>
      <c r="F173">
        <v>2</v>
      </c>
      <c r="G173" s="16">
        <v>0.1388888888888889</v>
      </c>
      <c r="H173">
        <v>66</v>
      </c>
      <c r="I173" s="1">
        <v>29</v>
      </c>
      <c r="J173" t="s">
        <v>7</v>
      </c>
      <c r="K173">
        <v>46</v>
      </c>
      <c r="L173">
        <v>1</v>
      </c>
      <c r="M173">
        <v>10</v>
      </c>
      <c r="N173" t="s">
        <v>213</v>
      </c>
      <c r="O173" t="s">
        <v>194</v>
      </c>
      <c r="AA173">
        <v>-10</v>
      </c>
      <c r="AG173" t="str">
        <f t="shared" si="16"/>
        <v>N</v>
      </c>
      <c r="AH173" t="str">
        <f t="shared" si="17"/>
        <v>No Catch</v>
      </c>
      <c r="AI173">
        <f t="shared" si="18"/>
        <v>0</v>
      </c>
      <c r="AJ173">
        <f t="shared" si="19"/>
        <v>0</v>
      </c>
    </row>
    <row r="174" spans="1:36" x14ac:dyDescent="0.5">
      <c r="A174" s="1">
        <v>1</v>
      </c>
      <c r="B174" s="1" t="s">
        <v>208</v>
      </c>
      <c r="C174" s="1">
        <v>0</v>
      </c>
      <c r="D174">
        <v>7</v>
      </c>
      <c r="E174">
        <v>3</v>
      </c>
      <c r="F174">
        <v>2</v>
      </c>
      <c r="G174" s="16">
        <v>0.12430555555555556</v>
      </c>
      <c r="H174">
        <v>67</v>
      </c>
      <c r="I174" s="1">
        <v>30</v>
      </c>
      <c r="J174" t="s">
        <v>7</v>
      </c>
      <c r="K174">
        <v>37</v>
      </c>
      <c r="L174">
        <v>1</v>
      </c>
      <c r="M174">
        <v>19</v>
      </c>
      <c r="O174" t="s">
        <v>136</v>
      </c>
      <c r="P174" t="s">
        <v>139</v>
      </c>
      <c r="Q174">
        <v>11</v>
      </c>
      <c r="R174">
        <v>6</v>
      </c>
      <c r="S174">
        <v>5</v>
      </c>
      <c r="T174">
        <v>33</v>
      </c>
      <c r="U174">
        <v>2</v>
      </c>
      <c r="Y174">
        <v>5.65</v>
      </c>
      <c r="Z174">
        <v>7.5</v>
      </c>
      <c r="AA174">
        <v>4</v>
      </c>
      <c r="AG174" t="str">
        <f t="shared" si="16"/>
        <v>N</v>
      </c>
      <c r="AH174" t="str">
        <f t="shared" si="17"/>
        <v>No Catch</v>
      </c>
      <c r="AI174">
        <f t="shared" si="18"/>
        <v>0</v>
      </c>
      <c r="AJ174">
        <f t="shared" si="19"/>
        <v>1.8499999999999996</v>
      </c>
    </row>
    <row r="175" spans="1:36" x14ac:dyDescent="0.5">
      <c r="A175" s="1">
        <v>1</v>
      </c>
      <c r="B175" s="1" t="s">
        <v>208</v>
      </c>
      <c r="C175" s="1">
        <v>0</v>
      </c>
      <c r="D175">
        <v>7</v>
      </c>
      <c r="E175">
        <v>3</v>
      </c>
      <c r="F175">
        <v>2</v>
      </c>
      <c r="G175" s="16">
        <v>0.1125</v>
      </c>
      <c r="H175">
        <v>68</v>
      </c>
      <c r="I175" s="1">
        <v>31</v>
      </c>
      <c r="J175" t="s">
        <v>7</v>
      </c>
      <c r="K175">
        <v>41</v>
      </c>
      <c r="L175">
        <v>2</v>
      </c>
      <c r="M175">
        <v>15</v>
      </c>
      <c r="O175" t="s">
        <v>9</v>
      </c>
      <c r="P175" t="s">
        <v>81</v>
      </c>
      <c r="Q175">
        <v>11</v>
      </c>
      <c r="R175">
        <v>6</v>
      </c>
      <c r="S175">
        <v>5</v>
      </c>
      <c r="V175">
        <v>1</v>
      </c>
      <c r="W175">
        <v>3.64</v>
      </c>
      <c r="X175">
        <v>4.79</v>
      </c>
      <c r="AA175">
        <v>0</v>
      </c>
      <c r="AC175" t="s">
        <v>82</v>
      </c>
      <c r="AD175" t="s">
        <v>41</v>
      </c>
      <c r="AE175">
        <v>-5</v>
      </c>
      <c r="AF175">
        <v>1</v>
      </c>
      <c r="AG175" t="str">
        <f t="shared" si="16"/>
        <v>N</v>
      </c>
      <c r="AH175">
        <f t="shared" si="17"/>
        <v>5</v>
      </c>
      <c r="AI175">
        <f t="shared" si="18"/>
        <v>1.1499999999999999</v>
      </c>
      <c r="AJ175">
        <f t="shared" si="19"/>
        <v>0</v>
      </c>
    </row>
    <row r="176" spans="1:36" x14ac:dyDescent="0.5">
      <c r="A176" s="1">
        <v>1</v>
      </c>
      <c r="B176" s="1" t="s">
        <v>208</v>
      </c>
      <c r="C176" s="1">
        <v>0</v>
      </c>
      <c r="D176">
        <v>7</v>
      </c>
      <c r="E176">
        <v>3</v>
      </c>
      <c r="F176">
        <v>2</v>
      </c>
      <c r="G176" s="16">
        <v>8.7500000000000008E-2</v>
      </c>
      <c r="H176">
        <v>69</v>
      </c>
      <c r="I176" s="1">
        <v>32</v>
      </c>
      <c r="J176" t="s">
        <v>7</v>
      </c>
      <c r="K176">
        <v>41</v>
      </c>
      <c r="L176">
        <v>3</v>
      </c>
      <c r="M176">
        <v>15</v>
      </c>
      <c r="O176" t="s">
        <v>9</v>
      </c>
      <c r="Q176">
        <v>11</v>
      </c>
      <c r="R176">
        <v>6</v>
      </c>
      <c r="S176">
        <v>5</v>
      </c>
      <c r="W176">
        <v>9.14</v>
      </c>
      <c r="X176">
        <v>15.54</v>
      </c>
      <c r="AA176">
        <v>0</v>
      </c>
      <c r="AC176" t="s">
        <v>193</v>
      </c>
      <c r="AD176" t="s">
        <v>197</v>
      </c>
      <c r="AG176" t="str">
        <f t="shared" si="16"/>
        <v>N</v>
      </c>
      <c r="AH176" t="str">
        <f t="shared" si="17"/>
        <v>No Catch</v>
      </c>
      <c r="AI176">
        <f t="shared" si="18"/>
        <v>6.3999999999999986</v>
      </c>
      <c r="AJ176">
        <f t="shared" si="19"/>
        <v>0</v>
      </c>
    </row>
    <row r="177" spans="1:37" x14ac:dyDescent="0.5">
      <c r="A177" s="1">
        <v>1</v>
      </c>
      <c r="B177" s="1" t="s">
        <v>208</v>
      </c>
      <c r="C177">
        <v>1</v>
      </c>
      <c r="D177">
        <v>7</v>
      </c>
      <c r="E177">
        <v>3</v>
      </c>
      <c r="F177">
        <v>2</v>
      </c>
      <c r="G177" s="16">
        <v>2.2916666666666669E-2</v>
      </c>
      <c r="H177">
        <v>76</v>
      </c>
      <c r="I177" s="1">
        <v>33</v>
      </c>
      <c r="J177" t="s">
        <v>7</v>
      </c>
      <c r="K177">
        <v>20</v>
      </c>
      <c r="O177" t="s">
        <v>214</v>
      </c>
      <c r="AG177" t="str">
        <f t="shared" si="16"/>
        <v>Y</v>
      </c>
      <c r="AH177" t="str">
        <f t="shared" si="17"/>
        <v>No Catch</v>
      </c>
      <c r="AI177">
        <f t="shared" si="18"/>
        <v>0</v>
      </c>
      <c r="AJ177">
        <f t="shared" si="19"/>
        <v>0</v>
      </c>
    </row>
    <row r="178" spans="1:37" x14ac:dyDescent="0.5">
      <c r="A178" s="1">
        <v>1</v>
      </c>
      <c r="B178" s="1" t="s">
        <v>208</v>
      </c>
      <c r="C178">
        <v>1</v>
      </c>
      <c r="D178">
        <v>7</v>
      </c>
      <c r="E178">
        <v>3</v>
      </c>
      <c r="F178">
        <v>3</v>
      </c>
      <c r="G178" s="16">
        <v>0.47222222222222227</v>
      </c>
      <c r="H178">
        <v>85</v>
      </c>
      <c r="I178" s="1">
        <v>34</v>
      </c>
      <c r="J178" t="s">
        <v>7</v>
      </c>
      <c r="K178">
        <v>7</v>
      </c>
      <c r="L178">
        <v>1</v>
      </c>
      <c r="M178">
        <v>10</v>
      </c>
      <c r="O178" t="s">
        <v>136</v>
      </c>
      <c r="P178" t="s">
        <v>137</v>
      </c>
      <c r="Q178">
        <v>10</v>
      </c>
      <c r="R178">
        <v>6</v>
      </c>
      <c r="S178">
        <v>5</v>
      </c>
      <c r="T178">
        <v>33</v>
      </c>
      <c r="U178">
        <v>-1</v>
      </c>
      <c r="Y178">
        <v>11.61</v>
      </c>
      <c r="Z178">
        <v>12.56</v>
      </c>
      <c r="AA178">
        <v>2</v>
      </c>
      <c r="AG178" t="str">
        <f t="shared" si="16"/>
        <v>N</v>
      </c>
      <c r="AH178" t="str">
        <f t="shared" si="17"/>
        <v>No Catch</v>
      </c>
      <c r="AI178">
        <f t="shared" si="18"/>
        <v>0</v>
      </c>
      <c r="AJ178">
        <f t="shared" si="19"/>
        <v>0.95000000000000107</v>
      </c>
      <c r="AK178" t="s">
        <v>215</v>
      </c>
    </row>
    <row r="179" spans="1:37" x14ac:dyDescent="0.5">
      <c r="A179" s="1">
        <v>1</v>
      </c>
      <c r="B179" s="1" t="s">
        <v>208</v>
      </c>
      <c r="C179" s="1">
        <v>0</v>
      </c>
      <c r="D179">
        <v>7</v>
      </c>
      <c r="E179">
        <v>3</v>
      </c>
      <c r="F179">
        <v>3</v>
      </c>
      <c r="G179" s="16">
        <v>0.46249999999999997</v>
      </c>
      <c r="H179">
        <v>86</v>
      </c>
      <c r="I179" s="1">
        <v>35</v>
      </c>
      <c r="J179" t="s">
        <v>7</v>
      </c>
      <c r="K179">
        <v>9</v>
      </c>
      <c r="L179">
        <v>2</v>
      </c>
      <c r="M179">
        <v>8</v>
      </c>
      <c r="O179" t="s">
        <v>9</v>
      </c>
      <c r="P179" t="s">
        <v>81</v>
      </c>
      <c r="Q179">
        <v>10</v>
      </c>
      <c r="R179">
        <v>7</v>
      </c>
      <c r="S179">
        <v>5</v>
      </c>
      <c r="W179">
        <v>9.34</v>
      </c>
      <c r="X179">
        <v>10.27</v>
      </c>
      <c r="AA179">
        <v>4</v>
      </c>
      <c r="AC179" t="s">
        <v>82</v>
      </c>
      <c r="AD179" t="s">
        <v>41</v>
      </c>
      <c r="AE179">
        <v>-1.5</v>
      </c>
      <c r="AF179">
        <v>4</v>
      </c>
      <c r="AG179" t="str">
        <f t="shared" si="16"/>
        <v>N</v>
      </c>
      <c r="AH179">
        <f t="shared" si="17"/>
        <v>5.5</v>
      </c>
      <c r="AI179">
        <f t="shared" si="18"/>
        <v>0.92999999999999972</v>
      </c>
      <c r="AJ179">
        <f t="shared" si="19"/>
        <v>0</v>
      </c>
    </row>
    <row r="180" spans="1:37" x14ac:dyDescent="0.5">
      <c r="A180" s="1">
        <v>1</v>
      </c>
      <c r="B180" s="1" t="s">
        <v>208</v>
      </c>
      <c r="C180" s="1">
        <v>0</v>
      </c>
      <c r="D180">
        <v>7</v>
      </c>
      <c r="E180">
        <v>3</v>
      </c>
      <c r="F180">
        <v>3</v>
      </c>
      <c r="G180" s="16">
        <v>0.44444444444444442</v>
      </c>
      <c r="H180">
        <v>87</v>
      </c>
      <c r="I180" s="1">
        <v>36</v>
      </c>
      <c r="J180" t="s">
        <v>7</v>
      </c>
      <c r="K180">
        <v>13</v>
      </c>
      <c r="L180">
        <v>3</v>
      </c>
      <c r="M180">
        <v>4</v>
      </c>
      <c r="O180" t="s">
        <v>9</v>
      </c>
      <c r="P180" t="s">
        <v>81</v>
      </c>
      <c r="Q180">
        <v>10</v>
      </c>
      <c r="R180">
        <v>7</v>
      </c>
      <c r="S180">
        <v>5</v>
      </c>
      <c r="W180">
        <v>11.78</v>
      </c>
      <c r="X180">
        <v>12.96</v>
      </c>
      <c r="AA180">
        <v>0</v>
      </c>
      <c r="AC180" t="s">
        <v>193</v>
      </c>
      <c r="AD180" t="s">
        <v>37</v>
      </c>
      <c r="AE180">
        <v>-2</v>
      </c>
      <c r="AF180">
        <v>1</v>
      </c>
      <c r="AG180" t="str">
        <f t="shared" si="16"/>
        <v>N</v>
      </c>
      <c r="AH180" t="str">
        <f t="shared" si="17"/>
        <v>No Catch</v>
      </c>
      <c r="AI180">
        <f t="shared" si="18"/>
        <v>1.1800000000000015</v>
      </c>
      <c r="AJ180">
        <f t="shared" si="19"/>
        <v>0</v>
      </c>
    </row>
    <row r="181" spans="1:37" x14ac:dyDescent="0.5">
      <c r="A181" s="1">
        <v>1</v>
      </c>
      <c r="B181" s="1" t="s">
        <v>208</v>
      </c>
      <c r="C181">
        <v>1</v>
      </c>
      <c r="D181">
        <v>14</v>
      </c>
      <c r="E181">
        <v>3</v>
      </c>
      <c r="F181">
        <v>3</v>
      </c>
      <c r="G181" s="16">
        <v>0.24444444444444446</v>
      </c>
      <c r="H181">
        <v>101</v>
      </c>
      <c r="I181" s="1">
        <v>37</v>
      </c>
      <c r="J181" t="s">
        <v>138</v>
      </c>
      <c r="K181">
        <v>30</v>
      </c>
      <c r="L181">
        <v>1</v>
      </c>
      <c r="M181">
        <v>10</v>
      </c>
      <c r="O181" t="s">
        <v>196</v>
      </c>
      <c r="Q181">
        <v>10</v>
      </c>
      <c r="R181">
        <v>6</v>
      </c>
      <c r="S181">
        <v>5</v>
      </c>
      <c r="W181">
        <v>10.199999999999999</v>
      </c>
      <c r="X181">
        <v>12.42</v>
      </c>
      <c r="AA181">
        <v>-6</v>
      </c>
      <c r="AG181" t="str">
        <f t="shared" si="16"/>
        <v>N</v>
      </c>
      <c r="AH181" t="str">
        <f t="shared" si="17"/>
        <v>No Catch</v>
      </c>
      <c r="AI181">
        <f t="shared" si="18"/>
        <v>2.2200000000000006</v>
      </c>
      <c r="AJ181">
        <f t="shared" si="19"/>
        <v>0</v>
      </c>
    </row>
    <row r="182" spans="1:37" x14ac:dyDescent="0.5">
      <c r="A182" s="1">
        <v>1</v>
      </c>
      <c r="B182" s="1" t="s">
        <v>208</v>
      </c>
      <c r="C182" s="1">
        <v>0</v>
      </c>
      <c r="D182">
        <v>14</v>
      </c>
      <c r="E182">
        <v>3</v>
      </c>
      <c r="F182">
        <v>3</v>
      </c>
      <c r="G182" s="16">
        <v>0.23263888888888887</v>
      </c>
      <c r="H182">
        <v>102</v>
      </c>
      <c r="I182" s="1">
        <v>38</v>
      </c>
      <c r="J182" t="s">
        <v>138</v>
      </c>
      <c r="K182">
        <v>36</v>
      </c>
      <c r="L182">
        <v>2</v>
      </c>
      <c r="M182">
        <v>16</v>
      </c>
      <c r="O182" t="s">
        <v>136</v>
      </c>
      <c r="P182" t="s">
        <v>139</v>
      </c>
      <c r="Q182">
        <v>10</v>
      </c>
      <c r="R182">
        <v>7</v>
      </c>
      <c r="S182">
        <v>5</v>
      </c>
      <c r="T182">
        <v>4</v>
      </c>
      <c r="U182">
        <v>-1</v>
      </c>
      <c r="Y182">
        <v>3.79</v>
      </c>
      <c r="Z182">
        <v>5.32</v>
      </c>
      <c r="AA182">
        <v>0</v>
      </c>
      <c r="AG182" t="str">
        <f t="shared" si="16"/>
        <v>N</v>
      </c>
      <c r="AH182" t="str">
        <f t="shared" si="17"/>
        <v>No Catch</v>
      </c>
      <c r="AI182">
        <f t="shared" si="18"/>
        <v>0</v>
      </c>
      <c r="AJ182">
        <f t="shared" si="19"/>
        <v>1.5300000000000002</v>
      </c>
    </row>
    <row r="183" spans="1:37" x14ac:dyDescent="0.5">
      <c r="A183" s="1">
        <v>1</v>
      </c>
      <c r="B183" s="1" t="s">
        <v>208</v>
      </c>
      <c r="C183" s="1">
        <v>0</v>
      </c>
      <c r="D183">
        <v>14</v>
      </c>
      <c r="E183">
        <v>3</v>
      </c>
      <c r="F183">
        <v>3</v>
      </c>
      <c r="G183" s="16">
        <v>0.21319444444444444</v>
      </c>
      <c r="H183">
        <v>103</v>
      </c>
      <c r="I183" s="1">
        <v>39</v>
      </c>
      <c r="J183" t="s">
        <v>138</v>
      </c>
      <c r="K183">
        <v>36</v>
      </c>
      <c r="L183">
        <v>3</v>
      </c>
      <c r="M183">
        <v>16</v>
      </c>
      <c r="O183" t="s">
        <v>9</v>
      </c>
      <c r="P183" t="s">
        <v>81</v>
      </c>
      <c r="Q183">
        <v>11</v>
      </c>
      <c r="R183">
        <v>7</v>
      </c>
      <c r="S183">
        <v>5</v>
      </c>
      <c r="W183">
        <v>12.81</v>
      </c>
      <c r="X183">
        <v>16.2</v>
      </c>
      <c r="AA183">
        <v>3</v>
      </c>
      <c r="AC183" t="s">
        <v>82</v>
      </c>
      <c r="AD183" t="s">
        <v>37</v>
      </c>
      <c r="AE183">
        <v>3</v>
      </c>
      <c r="AF183">
        <v>14</v>
      </c>
      <c r="AG183" t="str">
        <f t="shared" si="16"/>
        <v>N</v>
      </c>
      <c r="AH183">
        <f t="shared" si="17"/>
        <v>0</v>
      </c>
      <c r="AI183">
        <f t="shared" si="18"/>
        <v>3.3899999999999988</v>
      </c>
      <c r="AJ183">
        <f t="shared" si="19"/>
        <v>0</v>
      </c>
    </row>
    <row r="184" spans="1:37" x14ac:dyDescent="0.5">
      <c r="A184" s="1">
        <v>1</v>
      </c>
      <c r="B184" s="1" t="s">
        <v>208</v>
      </c>
      <c r="C184" s="1">
        <v>0</v>
      </c>
      <c r="D184">
        <v>14</v>
      </c>
      <c r="E184">
        <v>3</v>
      </c>
      <c r="F184">
        <v>3</v>
      </c>
      <c r="G184" s="16">
        <v>0.18124999999999999</v>
      </c>
      <c r="H184">
        <v>104</v>
      </c>
      <c r="I184" s="1">
        <v>40</v>
      </c>
      <c r="J184" t="s">
        <v>138</v>
      </c>
      <c r="K184">
        <v>33</v>
      </c>
      <c r="L184">
        <v>4</v>
      </c>
      <c r="M184">
        <v>13</v>
      </c>
      <c r="O184" t="s">
        <v>9</v>
      </c>
      <c r="P184" t="s">
        <v>139</v>
      </c>
      <c r="Q184">
        <v>10</v>
      </c>
      <c r="R184">
        <v>6</v>
      </c>
      <c r="S184">
        <v>5</v>
      </c>
      <c r="W184">
        <v>11.86</v>
      </c>
      <c r="X184">
        <v>14.1</v>
      </c>
      <c r="AA184">
        <v>0</v>
      </c>
      <c r="AC184" t="s">
        <v>193</v>
      </c>
      <c r="AD184" t="s">
        <v>41</v>
      </c>
      <c r="AE184">
        <v>29</v>
      </c>
      <c r="AF184">
        <v>6</v>
      </c>
      <c r="AG184" t="str">
        <f t="shared" si="16"/>
        <v>N</v>
      </c>
      <c r="AH184" t="str">
        <f t="shared" si="17"/>
        <v>No Catch</v>
      </c>
      <c r="AI184">
        <f t="shared" si="18"/>
        <v>2.2400000000000002</v>
      </c>
      <c r="AJ184">
        <f t="shared" si="19"/>
        <v>0</v>
      </c>
    </row>
    <row r="185" spans="1:37" x14ac:dyDescent="0.5">
      <c r="A185" s="1">
        <v>1</v>
      </c>
      <c r="B185" s="1" t="s">
        <v>208</v>
      </c>
      <c r="C185">
        <v>1</v>
      </c>
      <c r="D185">
        <v>14</v>
      </c>
      <c r="E185">
        <v>10</v>
      </c>
      <c r="F185">
        <v>3</v>
      </c>
      <c r="G185" s="16">
        <v>4.7916666666666663E-2</v>
      </c>
      <c r="H185">
        <v>114</v>
      </c>
      <c r="I185" s="1">
        <v>41</v>
      </c>
      <c r="J185" t="s">
        <v>7</v>
      </c>
      <c r="K185">
        <v>35</v>
      </c>
      <c r="L185">
        <v>1</v>
      </c>
      <c r="M185">
        <v>10</v>
      </c>
      <c r="O185" t="s">
        <v>9</v>
      </c>
      <c r="P185" t="s">
        <v>137</v>
      </c>
      <c r="Q185">
        <v>11</v>
      </c>
      <c r="R185">
        <v>7</v>
      </c>
      <c r="S185">
        <v>5</v>
      </c>
      <c r="W185">
        <v>12.54</v>
      </c>
      <c r="X185">
        <v>15.11</v>
      </c>
      <c r="AA185">
        <v>4</v>
      </c>
      <c r="AC185" t="s">
        <v>82</v>
      </c>
      <c r="AD185" t="s">
        <v>41</v>
      </c>
      <c r="AE185">
        <v>4</v>
      </c>
      <c r="AF185">
        <v>14</v>
      </c>
      <c r="AG185" t="str">
        <f t="shared" si="16"/>
        <v>N</v>
      </c>
      <c r="AH185">
        <f t="shared" si="17"/>
        <v>0</v>
      </c>
      <c r="AI185">
        <f t="shared" si="18"/>
        <v>2.5700000000000003</v>
      </c>
      <c r="AJ185">
        <f t="shared" si="19"/>
        <v>0</v>
      </c>
    </row>
    <row r="186" spans="1:37" x14ac:dyDescent="0.5">
      <c r="A186" s="1">
        <v>1</v>
      </c>
      <c r="B186" s="1" t="s">
        <v>208</v>
      </c>
      <c r="C186" s="1">
        <v>0</v>
      </c>
      <c r="D186">
        <v>14</v>
      </c>
      <c r="E186">
        <v>10</v>
      </c>
      <c r="F186">
        <v>3</v>
      </c>
      <c r="G186" s="16">
        <v>3.6111111111111115E-2</v>
      </c>
      <c r="H186">
        <v>115</v>
      </c>
      <c r="I186" s="1">
        <v>42</v>
      </c>
      <c r="J186" t="s">
        <v>7</v>
      </c>
      <c r="K186">
        <v>39</v>
      </c>
      <c r="L186">
        <v>2</v>
      </c>
      <c r="M186">
        <v>6</v>
      </c>
      <c r="O186" t="s">
        <v>136</v>
      </c>
      <c r="P186" t="s">
        <v>137</v>
      </c>
      <c r="Q186">
        <v>11</v>
      </c>
      <c r="R186">
        <v>6</v>
      </c>
      <c r="S186">
        <v>5</v>
      </c>
      <c r="T186">
        <v>33</v>
      </c>
      <c r="U186">
        <v>-1</v>
      </c>
      <c r="Y186">
        <v>9.89</v>
      </c>
      <c r="Z186">
        <v>11.9</v>
      </c>
      <c r="AA186">
        <v>1</v>
      </c>
      <c r="AG186" t="str">
        <f t="shared" si="16"/>
        <v>N</v>
      </c>
      <c r="AH186" t="str">
        <f t="shared" si="17"/>
        <v>No Catch</v>
      </c>
      <c r="AI186">
        <f t="shared" si="18"/>
        <v>0</v>
      </c>
      <c r="AJ186">
        <f t="shared" si="19"/>
        <v>2.0099999999999998</v>
      </c>
    </row>
    <row r="187" spans="1:37" x14ac:dyDescent="0.5">
      <c r="A187" s="1">
        <v>1</v>
      </c>
      <c r="B187" s="1" t="s">
        <v>208</v>
      </c>
      <c r="C187" s="1">
        <v>0</v>
      </c>
      <c r="D187">
        <v>14</v>
      </c>
      <c r="E187">
        <v>10</v>
      </c>
      <c r="F187">
        <v>4</v>
      </c>
      <c r="G187" s="16">
        <v>0.625</v>
      </c>
      <c r="H187">
        <v>117</v>
      </c>
      <c r="I187" s="1">
        <v>43</v>
      </c>
      <c r="J187" t="s">
        <v>7</v>
      </c>
      <c r="K187">
        <v>40</v>
      </c>
      <c r="L187">
        <v>3</v>
      </c>
      <c r="M187">
        <v>5</v>
      </c>
      <c r="O187" t="s">
        <v>9</v>
      </c>
      <c r="P187" t="s">
        <v>139</v>
      </c>
      <c r="Q187">
        <v>11</v>
      </c>
      <c r="R187">
        <v>8</v>
      </c>
      <c r="S187">
        <v>5</v>
      </c>
      <c r="W187">
        <v>9.1999999999999993</v>
      </c>
      <c r="X187">
        <v>11.35</v>
      </c>
      <c r="AA187">
        <v>46</v>
      </c>
      <c r="AC187" t="s">
        <v>82</v>
      </c>
      <c r="AD187" t="s">
        <v>41</v>
      </c>
      <c r="AE187">
        <v>3</v>
      </c>
      <c r="AF187">
        <v>4</v>
      </c>
      <c r="AG187" t="str">
        <f t="shared" si="16"/>
        <v>Y</v>
      </c>
      <c r="AH187">
        <f t="shared" si="17"/>
        <v>43</v>
      </c>
      <c r="AI187">
        <f t="shared" si="18"/>
        <v>2.1500000000000004</v>
      </c>
      <c r="AJ187">
        <f t="shared" si="19"/>
        <v>0</v>
      </c>
    </row>
    <row r="188" spans="1:37" x14ac:dyDescent="0.5">
      <c r="A188" s="1">
        <v>1</v>
      </c>
      <c r="B188" s="1" t="s">
        <v>208</v>
      </c>
      <c r="C188" s="1">
        <v>0</v>
      </c>
      <c r="D188">
        <v>14</v>
      </c>
      <c r="E188">
        <v>10</v>
      </c>
      <c r="F188">
        <v>4</v>
      </c>
      <c r="G188" s="16">
        <v>0.6166666666666667</v>
      </c>
      <c r="H188">
        <v>118</v>
      </c>
      <c r="I188" s="1">
        <v>44</v>
      </c>
      <c r="J188" t="s">
        <v>138</v>
      </c>
      <c r="K188">
        <v>14</v>
      </c>
      <c r="L188">
        <v>1</v>
      </c>
      <c r="M188">
        <v>10</v>
      </c>
      <c r="O188" t="s">
        <v>136</v>
      </c>
      <c r="P188" t="s">
        <v>139</v>
      </c>
      <c r="Q188">
        <v>11</v>
      </c>
      <c r="R188">
        <v>7</v>
      </c>
      <c r="S188">
        <v>5</v>
      </c>
      <c r="T188">
        <v>33</v>
      </c>
      <c r="U188">
        <v>7</v>
      </c>
      <c r="Y188">
        <v>7.08</v>
      </c>
      <c r="Z188">
        <v>9.31</v>
      </c>
      <c r="AA188">
        <v>9</v>
      </c>
      <c r="AG188" t="str">
        <f t="shared" si="16"/>
        <v>N</v>
      </c>
      <c r="AH188" t="str">
        <f t="shared" si="17"/>
        <v>No Catch</v>
      </c>
      <c r="AI188">
        <f t="shared" si="18"/>
        <v>0</v>
      </c>
      <c r="AJ188">
        <f t="shared" si="19"/>
        <v>2.2300000000000004</v>
      </c>
    </row>
    <row r="189" spans="1:37" x14ac:dyDescent="0.5">
      <c r="A189" s="1">
        <v>1</v>
      </c>
      <c r="B189" s="1" t="s">
        <v>208</v>
      </c>
      <c r="C189" s="1">
        <v>0</v>
      </c>
      <c r="D189">
        <v>14</v>
      </c>
      <c r="E189">
        <v>10</v>
      </c>
      <c r="F189">
        <v>4</v>
      </c>
      <c r="G189" s="16">
        <v>0.60555555555555551</v>
      </c>
      <c r="H189">
        <v>119</v>
      </c>
      <c r="I189" s="1">
        <v>45</v>
      </c>
      <c r="J189" t="s">
        <v>138</v>
      </c>
      <c r="K189">
        <v>5</v>
      </c>
      <c r="L189">
        <v>2</v>
      </c>
      <c r="M189">
        <v>1</v>
      </c>
      <c r="O189" t="s">
        <v>136</v>
      </c>
      <c r="P189" t="s">
        <v>137</v>
      </c>
      <c r="Q189">
        <v>11</v>
      </c>
      <c r="R189">
        <v>8</v>
      </c>
      <c r="S189">
        <v>5</v>
      </c>
      <c r="T189">
        <v>33</v>
      </c>
      <c r="U189">
        <v>3</v>
      </c>
      <c r="V189">
        <v>1</v>
      </c>
      <c r="Y189">
        <v>1.82</v>
      </c>
      <c r="Z189">
        <v>3.62</v>
      </c>
      <c r="AA189">
        <v>5</v>
      </c>
      <c r="AB189" t="s">
        <v>28</v>
      </c>
      <c r="AG189" t="str">
        <f t="shared" si="16"/>
        <v>Y</v>
      </c>
      <c r="AH189" t="str">
        <f t="shared" si="17"/>
        <v>No Catch</v>
      </c>
      <c r="AI189">
        <f t="shared" si="18"/>
        <v>0</v>
      </c>
      <c r="AJ189">
        <f t="shared" si="19"/>
        <v>1.8</v>
      </c>
    </row>
    <row r="190" spans="1:37" x14ac:dyDescent="0.5">
      <c r="A190" s="1">
        <v>1</v>
      </c>
      <c r="B190" s="1" t="s">
        <v>208</v>
      </c>
      <c r="C190">
        <v>1</v>
      </c>
      <c r="D190">
        <v>21</v>
      </c>
      <c r="E190">
        <v>17</v>
      </c>
      <c r="F190">
        <v>4</v>
      </c>
      <c r="G190" s="16">
        <v>0.51388888888888895</v>
      </c>
      <c r="H190">
        <v>129</v>
      </c>
      <c r="I190" s="1">
        <v>46</v>
      </c>
      <c r="J190" t="s">
        <v>7</v>
      </c>
      <c r="K190">
        <v>33</v>
      </c>
      <c r="L190">
        <v>1</v>
      </c>
      <c r="M190">
        <v>10</v>
      </c>
      <c r="O190" t="s">
        <v>136</v>
      </c>
      <c r="P190" t="s">
        <v>137</v>
      </c>
      <c r="Q190">
        <v>11</v>
      </c>
      <c r="R190">
        <v>7</v>
      </c>
      <c r="S190">
        <v>5</v>
      </c>
      <c r="T190">
        <v>33</v>
      </c>
      <c r="U190">
        <v>2</v>
      </c>
      <c r="Y190">
        <v>6.45</v>
      </c>
      <c r="Z190">
        <v>7.57</v>
      </c>
      <c r="AA190">
        <v>4</v>
      </c>
      <c r="AG190" t="str">
        <f t="shared" si="16"/>
        <v>N</v>
      </c>
      <c r="AH190" t="str">
        <f t="shared" si="17"/>
        <v>No Catch</v>
      </c>
      <c r="AI190">
        <f t="shared" si="18"/>
        <v>0</v>
      </c>
      <c r="AJ190">
        <f t="shared" si="19"/>
        <v>1.1200000000000001</v>
      </c>
    </row>
    <row r="191" spans="1:37" x14ac:dyDescent="0.5">
      <c r="A191" s="1">
        <v>1</v>
      </c>
      <c r="B191" s="1" t="s">
        <v>208</v>
      </c>
      <c r="C191" s="1">
        <v>0</v>
      </c>
      <c r="D191">
        <v>21</v>
      </c>
      <c r="E191">
        <v>17</v>
      </c>
      <c r="F191">
        <v>4</v>
      </c>
      <c r="G191" s="16">
        <v>0.50416666666666665</v>
      </c>
      <c r="H191">
        <v>130</v>
      </c>
      <c r="I191" s="1">
        <v>47</v>
      </c>
      <c r="J191" t="s">
        <v>7</v>
      </c>
      <c r="K191">
        <v>37</v>
      </c>
      <c r="L191">
        <v>2</v>
      </c>
      <c r="M191">
        <v>6</v>
      </c>
      <c r="O191" t="s">
        <v>136</v>
      </c>
      <c r="P191" t="s">
        <v>81</v>
      </c>
      <c r="Q191">
        <v>11</v>
      </c>
      <c r="R191">
        <v>7</v>
      </c>
      <c r="S191">
        <v>5</v>
      </c>
      <c r="T191">
        <v>33</v>
      </c>
      <c r="U191">
        <v>-3</v>
      </c>
      <c r="Y191">
        <v>4.8</v>
      </c>
      <c r="Z191">
        <v>6.13</v>
      </c>
      <c r="AA191">
        <v>-1</v>
      </c>
      <c r="AG191" t="str">
        <f t="shared" si="16"/>
        <v>N</v>
      </c>
      <c r="AH191" t="str">
        <f t="shared" si="17"/>
        <v>No Catch</v>
      </c>
      <c r="AI191">
        <f t="shared" si="18"/>
        <v>0</v>
      </c>
      <c r="AJ191">
        <f t="shared" si="19"/>
        <v>1.33</v>
      </c>
    </row>
    <row r="192" spans="1:37" x14ac:dyDescent="0.5">
      <c r="A192" s="1">
        <v>1</v>
      </c>
      <c r="B192" s="1" t="s">
        <v>208</v>
      </c>
      <c r="C192" s="1">
        <v>0</v>
      </c>
      <c r="D192">
        <v>21</v>
      </c>
      <c r="E192">
        <v>17</v>
      </c>
      <c r="F192">
        <v>4</v>
      </c>
      <c r="G192" s="16">
        <v>0.48958333333333331</v>
      </c>
      <c r="H192">
        <v>131</v>
      </c>
      <c r="I192" s="1">
        <v>48</v>
      </c>
      <c r="J192" t="s">
        <v>7</v>
      </c>
      <c r="K192">
        <v>36</v>
      </c>
      <c r="L192">
        <v>3</v>
      </c>
      <c r="M192">
        <v>7</v>
      </c>
      <c r="O192" t="s">
        <v>9</v>
      </c>
      <c r="P192" t="s">
        <v>139</v>
      </c>
      <c r="Q192">
        <v>11</v>
      </c>
      <c r="R192">
        <v>7</v>
      </c>
      <c r="S192">
        <v>5</v>
      </c>
      <c r="W192">
        <v>8.75</v>
      </c>
      <c r="X192">
        <v>11.01</v>
      </c>
      <c r="AA192">
        <v>11</v>
      </c>
      <c r="AC192" t="s">
        <v>82</v>
      </c>
      <c r="AD192" t="s">
        <v>41</v>
      </c>
      <c r="AE192">
        <v>11</v>
      </c>
      <c r="AF192">
        <v>6</v>
      </c>
      <c r="AG192" t="str">
        <f t="shared" si="16"/>
        <v>Y</v>
      </c>
      <c r="AH192">
        <f t="shared" si="17"/>
        <v>0</v>
      </c>
      <c r="AI192">
        <f t="shared" si="18"/>
        <v>2.2599999999999998</v>
      </c>
      <c r="AJ192">
        <f t="shared" si="19"/>
        <v>0</v>
      </c>
    </row>
    <row r="193" spans="1:36" x14ac:dyDescent="0.5">
      <c r="A193" s="1">
        <v>1</v>
      </c>
      <c r="B193" s="1" t="s">
        <v>208</v>
      </c>
      <c r="C193" s="1">
        <v>0</v>
      </c>
      <c r="D193">
        <v>21</v>
      </c>
      <c r="E193">
        <v>17</v>
      </c>
      <c r="F193">
        <v>4</v>
      </c>
      <c r="G193" s="16">
        <v>0.4777777777777778</v>
      </c>
      <c r="H193">
        <v>132</v>
      </c>
      <c r="I193" s="1">
        <v>49</v>
      </c>
      <c r="J193" t="s">
        <v>7</v>
      </c>
      <c r="K193">
        <v>47</v>
      </c>
      <c r="L193">
        <v>1</v>
      </c>
      <c r="M193">
        <v>10</v>
      </c>
      <c r="O193" t="s">
        <v>209</v>
      </c>
      <c r="S193">
        <v>5</v>
      </c>
      <c r="T193">
        <v>5</v>
      </c>
      <c r="AA193">
        <v>-3</v>
      </c>
      <c r="AG193" t="str">
        <f t="shared" si="16"/>
        <v>N</v>
      </c>
      <c r="AH193" t="str">
        <f t="shared" si="17"/>
        <v>No Catch</v>
      </c>
      <c r="AI193">
        <f t="shared" si="18"/>
        <v>0</v>
      </c>
      <c r="AJ193">
        <f t="shared" si="19"/>
        <v>0</v>
      </c>
    </row>
    <row r="194" spans="1:36" x14ac:dyDescent="0.5">
      <c r="A194" s="1">
        <v>1</v>
      </c>
      <c r="B194" s="1" t="s">
        <v>208</v>
      </c>
      <c r="C194" s="1">
        <v>0</v>
      </c>
      <c r="D194">
        <v>21</v>
      </c>
      <c r="E194">
        <v>17</v>
      </c>
      <c r="F194">
        <v>4</v>
      </c>
      <c r="G194" s="16">
        <v>0.45833333333333331</v>
      </c>
      <c r="H194">
        <v>133</v>
      </c>
      <c r="I194" s="1">
        <v>50</v>
      </c>
      <c r="J194" t="s">
        <v>7</v>
      </c>
      <c r="K194">
        <v>44</v>
      </c>
      <c r="L194">
        <v>2</v>
      </c>
      <c r="M194">
        <v>13</v>
      </c>
      <c r="O194" t="s">
        <v>9</v>
      </c>
      <c r="P194" t="s">
        <v>81</v>
      </c>
      <c r="Q194">
        <v>10</v>
      </c>
      <c r="R194">
        <v>6</v>
      </c>
      <c r="S194">
        <v>5</v>
      </c>
      <c r="W194">
        <v>9.4700000000000006</v>
      </c>
      <c r="X194">
        <v>10.53</v>
      </c>
      <c r="AA194">
        <v>-3</v>
      </c>
      <c r="AC194" t="s">
        <v>82</v>
      </c>
      <c r="AD194" t="s">
        <v>41</v>
      </c>
      <c r="AE194">
        <v>-3</v>
      </c>
      <c r="AF194">
        <v>1</v>
      </c>
      <c r="AG194" t="str">
        <f t="shared" si="16"/>
        <v>N</v>
      </c>
      <c r="AH194">
        <f t="shared" si="17"/>
        <v>0</v>
      </c>
      <c r="AI194">
        <f t="shared" si="18"/>
        <v>1.0599999999999987</v>
      </c>
      <c r="AJ194">
        <f t="shared" si="19"/>
        <v>0</v>
      </c>
    </row>
    <row r="195" spans="1:36" x14ac:dyDescent="0.5">
      <c r="A195" s="1">
        <v>1</v>
      </c>
      <c r="B195" s="1" t="s">
        <v>208</v>
      </c>
      <c r="C195" s="1">
        <v>0</v>
      </c>
      <c r="D195">
        <v>21</v>
      </c>
      <c r="E195">
        <v>17</v>
      </c>
      <c r="F195">
        <v>4</v>
      </c>
      <c r="G195" s="16">
        <v>0.43611111111111112</v>
      </c>
      <c r="H195">
        <v>134</v>
      </c>
      <c r="I195" s="1">
        <v>51</v>
      </c>
      <c r="J195" t="s">
        <v>7</v>
      </c>
      <c r="K195">
        <v>41</v>
      </c>
      <c r="L195">
        <v>3</v>
      </c>
      <c r="M195">
        <v>16</v>
      </c>
      <c r="O195" t="s">
        <v>136</v>
      </c>
      <c r="P195" t="s">
        <v>137</v>
      </c>
      <c r="Q195">
        <v>10</v>
      </c>
      <c r="R195">
        <v>6</v>
      </c>
      <c r="S195">
        <v>5</v>
      </c>
      <c r="T195">
        <v>33</v>
      </c>
      <c r="U195">
        <v>-3</v>
      </c>
      <c r="V195">
        <v>1</v>
      </c>
      <c r="Y195">
        <v>7.65</v>
      </c>
      <c r="Z195">
        <v>8.36</v>
      </c>
      <c r="AA195">
        <v>4</v>
      </c>
      <c r="AG195" t="str">
        <f t="shared" si="16"/>
        <v>N</v>
      </c>
      <c r="AH195" t="str">
        <f t="shared" si="17"/>
        <v>No Catch</v>
      </c>
      <c r="AI195">
        <f t="shared" si="18"/>
        <v>0</v>
      </c>
      <c r="AJ195">
        <f t="shared" si="19"/>
        <v>0.70999999999999908</v>
      </c>
    </row>
    <row r="196" spans="1:36" x14ac:dyDescent="0.5">
      <c r="A196" s="1">
        <v>1</v>
      </c>
      <c r="B196" s="1" t="s">
        <v>208</v>
      </c>
      <c r="C196">
        <v>1</v>
      </c>
      <c r="D196">
        <v>21</v>
      </c>
      <c r="E196">
        <v>17</v>
      </c>
      <c r="F196">
        <v>4</v>
      </c>
      <c r="G196" s="16">
        <v>0.3520833333333333</v>
      </c>
      <c r="H196">
        <v>138</v>
      </c>
      <c r="I196" s="1">
        <v>52</v>
      </c>
      <c r="J196" t="s">
        <v>7</v>
      </c>
      <c r="K196">
        <v>46</v>
      </c>
      <c r="L196">
        <v>1</v>
      </c>
      <c r="M196">
        <v>10</v>
      </c>
      <c r="O196" t="s">
        <v>136</v>
      </c>
      <c r="P196" t="s">
        <v>137</v>
      </c>
      <c r="Q196">
        <v>10</v>
      </c>
      <c r="R196">
        <v>7</v>
      </c>
      <c r="S196">
        <v>5</v>
      </c>
      <c r="T196">
        <v>33</v>
      </c>
      <c r="U196">
        <v>-3</v>
      </c>
      <c r="V196">
        <v>2</v>
      </c>
      <c r="Y196">
        <v>13.56</v>
      </c>
      <c r="Z196">
        <v>14.23</v>
      </c>
      <c r="AA196">
        <v>7</v>
      </c>
      <c r="AG196" t="str">
        <f t="shared" si="16"/>
        <v>N</v>
      </c>
      <c r="AH196" t="str">
        <f t="shared" si="17"/>
        <v>No Catch</v>
      </c>
      <c r="AI196">
        <f t="shared" si="18"/>
        <v>0</v>
      </c>
      <c r="AJ196">
        <f t="shared" si="19"/>
        <v>0.66999999999999993</v>
      </c>
    </row>
    <row r="197" spans="1:36" x14ac:dyDescent="0.5">
      <c r="A197" s="1">
        <v>1</v>
      </c>
      <c r="B197" s="1" t="s">
        <v>208</v>
      </c>
      <c r="C197" s="1">
        <v>0</v>
      </c>
      <c r="D197">
        <v>21</v>
      </c>
      <c r="E197">
        <v>17</v>
      </c>
      <c r="F197">
        <v>4</v>
      </c>
      <c r="G197" s="16">
        <v>0.34097222222222223</v>
      </c>
      <c r="H197">
        <v>139</v>
      </c>
      <c r="I197" s="1">
        <v>53</v>
      </c>
      <c r="J197" t="s">
        <v>138</v>
      </c>
      <c r="K197">
        <v>47</v>
      </c>
      <c r="L197">
        <v>2</v>
      </c>
      <c r="M197">
        <v>3</v>
      </c>
      <c r="O197" t="s">
        <v>136</v>
      </c>
      <c r="P197" t="s">
        <v>137</v>
      </c>
      <c r="Q197">
        <v>10</v>
      </c>
      <c r="R197">
        <v>6</v>
      </c>
      <c r="S197">
        <v>5</v>
      </c>
      <c r="T197">
        <v>33</v>
      </c>
      <c r="U197">
        <v>4</v>
      </c>
      <c r="Y197">
        <v>6.43</v>
      </c>
      <c r="Z197">
        <v>7.44</v>
      </c>
      <c r="AA197">
        <v>6</v>
      </c>
      <c r="AG197" t="str">
        <f t="shared" si="16"/>
        <v>Y</v>
      </c>
      <c r="AH197" t="str">
        <f t="shared" si="17"/>
        <v>No Catch</v>
      </c>
      <c r="AI197">
        <f t="shared" si="18"/>
        <v>0</v>
      </c>
      <c r="AJ197">
        <f t="shared" si="19"/>
        <v>1.0100000000000007</v>
      </c>
    </row>
    <row r="198" spans="1:36" x14ac:dyDescent="0.5">
      <c r="A198" s="1">
        <v>1</v>
      </c>
      <c r="B198" s="1" t="s">
        <v>208</v>
      </c>
      <c r="C198" s="1">
        <v>0</v>
      </c>
      <c r="D198">
        <v>21</v>
      </c>
      <c r="E198">
        <v>17</v>
      </c>
      <c r="F198">
        <v>4</v>
      </c>
      <c r="G198" s="16">
        <v>0.32847222222222222</v>
      </c>
      <c r="H198">
        <v>140</v>
      </c>
      <c r="I198" s="1">
        <v>54</v>
      </c>
      <c r="J198" t="s">
        <v>138</v>
      </c>
      <c r="K198">
        <v>41</v>
      </c>
      <c r="L198">
        <v>1</v>
      </c>
      <c r="M198">
        <v>10</v>
      </c>
      <c r="O198" t="s">
        <v>136</v>
      </c>
      <c r="P198" t="s">
        <v>137</v>
      </c>
      <c r="Q198">
        <v>10</v>
      </c>
      <c r="R198">
        <v>6</v>
      </c>
      <c r="S198">
        <v>5</v>
      </c>
      <c r="T198">
        <v>33</v>
      </c>
      <c r="U198">
        <v>3</v>
      </c>
      <c r="Y198">
        <v>5.7</v>
      </c>
      <c r="Z198">
        <v>7.06</v>
      </c>
      <c r="AA198">
        <v>4</v>
      </c>
      <c r="AG198" t="str">
        <f t="shared" si="16"/>
        <v>N</v>
      </c>
      <c r="AH198" t="str">
        <f t="shared" si="17"/>
        <v>No Catch</v>
      </c>
      <c r="AI198">
        <f t="shared" si="18"/>
        <v>0</v>
      </c>
      <c r="AJ198">
        <f t="shared" si="19"/>
        <v>1.3599999999999994</v>
      </c>
    </row>
    <row r="199" spans="1:36" x14ac:dyDescent="0.5">
      <c r="A199" s="1">
        <v>1</v>
      </c>
      <c r="B199" s="1" t="s">
        <v>208</v>
      </c>
      <c r="C199" s="1">
        <v>0</v>
      </c>
      <c r="D199">
        <v>21</v>
      </c>
      <c r="E199">
        <v>17</v>
      </c>
      <c r="F199">
        <v>4</v>
      </c>
      <c r="G199" s="16">
        <v>0.3125</v>
      </c>
      <c r="H199">
        <v>141</v>
      </c>
      <c r="I199" s="1">
        <v>55</v>
      </c>
      <c r="J199" t="s">
        <v>138</v>
      </c>
      <c r="K199">
        <v>37</v>
      </c>
      <c r="L199">
        <v>2</v>
      </c>
      <c r="M199">
        <v>6</v>
      </c>
      <c r="O199" t="s">
        <v>136</v>
      </c>
      <c r="P199" t="s">
        <v>139</v>
      </c>
      <c r="Q199">
        <v>11</v>
      </c>
      <c r="R199">
        <v>6</v>
      </c>
      <c r="S199">
        <v>5</v>
      </c>
      <c r="T199">
        <v>33</v>
      </c>
      <c r="U199">
        <v>1</v>
      </c>
      <c r="Y199">
        <v>7.77</v>
      </c>
      <c r="Z199">
        <v>9.3699999999999992</v>
      </c>
      <c r="AA199">
        <v>4</v>
      </c>
      <c r="AG199" t="str">
        <f t="shared" si="16"/>
        <v>N</v>
      </c>
      <c r="AH199" t="str">
        <f t="shared" si="17"/>
        <v>No Catch</v>
      </c>
      <c r="AI199">
        <f t="shared" si="18"/>
        <v>0</v>
      </c>
      <c r="AJ199">
        <f t="shared" si="19"/>
        <v>1.5999999999999996</v>
      </c>
    </row>
    <row r="200" spans="1:36" x14ac:dyDescent="0.5">
      <c r="A200" s="1">
        <v>1</v>
      </c>
      <c r="B200" s="1" t="s">
        <v>208</v>
      </c>
      <c r="C200" s="1">
        <v>0</v>
      </c>
      <c r="D200">
        <v>21</v>
      </c>
      <c r="E200">
        <v>17</v>
      </c>
      <c r="F200">
        <v>4</v>
      </c>
      <c r="G200" s="16">
        <v>0.2902777777777778</v>
      </c>
      <c r="H200">
        <v>142</v>
      </c>
      <c r="I200" s="1">
        <v>56</v>
      </c>
      <c r="J200" t="s">
        <v>138</v>
      </c>
      <c r="K200">
        <v>33</v>
      </c>
      <c r="L200">
        <v>3</v>
      </c>
      <c r="M200">
        <v>2</v>
      </c>
      <c r="O200" t="s">
        <v>9</v>
      </c>
      <c r="P200" t="s">
        <v>137</v>
      </c>
      <c r="Q200">
        <v>10</v>
      </c>
      <c r="R200">
        <v>6</v>
      </c>
      <c r="S200">
        <v>5</v>
      </c>
      <c r="V200">
        <v>1</v>
      </c>
      <c r="W200">
        <v>12.9</v>
      </c>
      <c r="X200">
        <v>14.42</v>
      </c>
      <c r="AA200">
        <v>10</v>
      </c>
      <c r="AC200" t="s">
        <v>82</v>
      </c>
      <c r="AD200" t="s">
        <v>41</v>
      </c>
      <c r="AE200">
        <v>7</v>
      </c>
      <c r="AF200">
        <v>4</v>
      </c>
      <c r="AG200" t="str">
        <f t="shared" si="16"/>
        <v>Y</v>
      </c>
      <c r="AH200">
        <f t="shared" si="17"/>
        <v>3</v>
      </c>
      <c r="AI200">
        <f t="shared" si="18"/>
        <v>1.5199999999999996</v>
      </c>
      <c r="AJ200">
        <f t="shared" si="19"/>
        <v>0</v>
      </c>
    </row>
    <row r="201" spans="1:36" x14ac:dyDescent="0.5">
      <c r="A201" s="1">
        <v>1</v>
      </c>
      <c r="B201" s="1" t="s">
        <v>208</v>
      </c>
      <c r="C201" s="1">
        <v>0</v>
      </c>
      <c r="D201">
        <v>21</v>
      </c>
      <c r="E201">
        <v>17</v>
      </c>
      <c r="F201">
        <v>4</v>
      </c>
      <c r="G201" s="16">
        <v>0.27013888888888887</v>
      </c>
      <c r="H201">
        <v>143</v>
      </c>
      <c r="I201" s="1">
        <v>57</v>
      </c>
      <c r="J201" t="s">
        <v>138</v>
      </c>
      <c r="K201">
        <v>23</v>
      </c>
      <c r="L201">
        <v>1</v>
      </c>
      <c r="M201">
        <v>10</v>
      </c>
      <c r="O201" t="s">
        <v>136</v>
      </c>
      <c r="P201" t="s">
        <v>137</v>
      </c>
      <c r="Q201">
        <v>12</v>
      </c>
      <c r="R201">
        <v>9</v>
      </c>
      <c r="S201">
        <v>5</v>
      </c>
      <c r="T201">
        <v>5</v>
      </c>
      <c r="U201">
        <v>-5</v>
      </c>
      <c r="Y201">
        <v>9.4700000000000006</v>
      </c>
      <c r="Z201">
        <v>10.35</v>
      </c>
      <c r="AA201">
        <v>-5</v>
      </c>
      <c r="AG201" t="str">
        <f t="shared" si="16"/>
        <v>N</v>
      </c>
      <c r="AH201" t="str">
        <f t="shared" si="17"/>
        <v>No Catch</v>
      </c>
      <c r="AI201">
        <f t="shared" si="18"/>
        <v>0</v>
      </c>
      <c r="AJ201">
        <f t="shared" si="19"/>
        <v>0.87999999999999901</v>
      </c>
    </row>
    <row r="202" spans="1:36" x14ac:dyDescent="0.5">
      <c r="A202" s="1">
        <v>1</v>
      </c>
      <c r="B202" s="1" t="s">
        <v>208</v>
      </c>
      <c r="C202" s="1">
        <v>0</v>
      </c>
      <c r="D202">
        <v>21</v>
      </c>
      <c r="E202">
        <v>17</v>
      </c>
      <c r="F202">
        <v>4</v>
      </c>
      <c r="G202" s="16">
        <v>0.24722222222222223</v>
      </c>
      <c r="H202">
        <v>144</v>
      </c>
      <c r="I202" s="1">
        <v>58</v>
      </c>
      <c r="J202" t="s">
        <v>138</v>
      </c>
      <c r="K202">
        <v>28</v>
      </c>
      <c r="L202">
        <v>2</v>
      </c>
      <c r="M202">
        <v>15</v>
      </c>
      <c r="O202" t="s">
        <v>141</v>
      </c>
      <c r="Q202">
        <v>11</v>
      </c>
      <c r="R202">
        <v>8</v>
      </c>
      <c r="S202">
        <v>5</v>
      </c>
      <c r="T202">
        <v>5</v>
      </c>
      <c r="AA202">
        <v>16</v>
      </c>
      <c r="AG202" t="str">
        <f t="shared" si="16"/>
        <v>Y</v>
      </c>
      <c r="AH202" t="str">
        <f t="shared" si="17"/>
        <v>No Catch</v>
      </c>
      <c r="AI202">
        <f t="shared" si="18"/>
        <v>0</v>
      </c>
      <c r="AJ202">
        <f t="shared" si="19"/>
        <v>0</v>
      </c>
    </row>
    <row r="203" spans="1:36" x14ac:dyDescent="0.5">
      <c r="A203" s="1">
        <v>1</v>
      </c>
      <c r="B203" s="1" t="s">
        <v>208</v>
      </c>
      <c r="C203" s="1">
        <v>0</v>
      </c>
      <c r="D203">
        <v>21</v>
      </c>
      <c r="E203">
        <v>17</v>
      </c>
      <c r="F203">
        <v>4</v>
      </c>
      <c r="G203" s="16">
        <v>0.23263888888888887</v>
      </c>
      <c r="H203">
        <v>145</v>
      </c>
      <c r="I203" s="1">
        <v>59</v>
      </c>
      <c r="J203" t="s">
        <v>138</v>
      </c>
      <c r="K203">
        <v>12</v>
      </c>
      <c r="L203">
        <v>1</v>
      </c>
      <c r="M203">
        <v>10</v>
      </c>
      <c r="O203" t="s">
        <v>136</v>
      </c>
      <c r="P203" t="s">
        <v>139</v>
      </c>
      <c r="Q203">
        <v>12</v>
      </c>
      <c r="R203">
        <v>7</v>
      </c>
      <c r="S203">
        <v>5</v>
      </c>
      <c r="T203">
        <v>1</v>
      </c>
      <c r="U203">
        <v>2</v>
      </c>
      <c r="Y203">
        <v>11.96</v>
      </c>
      <c r="Z203">
        <v>14.25</v>
      </c>
      <c r="AA203">
        <v>2</v>
      </c>
      <c r="AG203" t="str">
        <f t="shared" si="16"/>
        <v>N</v>
      </c>
      <c r="AH203" t="str">
        <f t="shared" si="17"/>
        <v>No Catch</v>
      </c>
      <c r="AI203">
        <f t="shared" si="18"/>
        <v>0</v>
      </c>
      <c r="AJ203">
        <f t="shared" si="19"/>
        <v>2.2899999999999991</v>
      </c>
    </row>
    <row r="204" spans="1:36" x14ac:dyDescent="0.5">
      <c r="A204" s="1">
        <v>1</v>
      </c>
      <c r="B204" s="1" t="s">
        <v>208</v>
      </c>
      <c r="C204" s="1">
        <v>0</v>
      </c>
      <c r="D204">
        <v>21</v>
      </c>
      <c r="E204">
        <v>17</v>
      </c>
      <c r="F204">
        <v>4</v>
      </c>
      <c r="G204" s="16">
        <v>0.22083333333333333</v>
      </c>
      <c r="H204">
        <v>146</v>
      </c>
      <c r="I204" s="1">
        <v>60</v>
      </c>
      <c r="J204" t="s">
        <v>138</v>
      </c>
      <c r="K204">
        <v>10</v>
      </c>
      <c r="L204">
        <v>2</v>
      </c>
      <c r="M204">
        <v>8</v>
      </c>
      <c r="O204" t="s">
        <v>136</v>
      </c>
      <c r="P204" t="s">
        <v>139</v>
      </c>
      <c r="Q204">
        <v>10</v>
      </c>
      <c r="R204">
        <v>6</v>
      </c>
      <c r="S204">
        <v>5</v>
      </c>
      <c r="T204">
        <v>1</v>
      </c>
      <c r="U204">
        <v>0</v>
      </c>
      <c r="Y204">
        <v>9.32</v>
      </c>
      <c r="Z204">
        <v>11.42</v>
      </c>
      <c r="AA204">
        <v>2</v>
      </c>
      <c r="AG204" t="str">
        <f t="shared" si="16"/>
        <v>N</v>
      </c>
      <c r="AH204" t="str">
        <f t="shared" si="17"/>
        <v>No Catch</v>
      </c>
      <c r="AI204">
        <f t="shared" si="18"/>
        <v>0</v>
      </c>
      <c r="AJ204">
        <f t="shared" si="19"/>
        <v>2.0999999999999996</v>
      </c>
    </row>
    <row r="205" spans="1:36" x14ac:dyDescent="0.5">
      <c r="A205" s="1">
        <v>1</v>
      </c>
      <c r="B205" s="1" t="s">
        <v>208</v>
      </c>
      <c r="C205" s="1">
        <v>0</v>
      </c>
      <c r="D205">
        <v>21</v>
      </c>
      <c r="E205">
        <v>17</v>
      </c>
      <c r="F205">
        <v>4</v>
      </c>
      <c r="G205" s="16">
        <v>0.20416666666666669</v>
      </c>
      <c r="H205">
        <v>147</v>
      </c>
      <c r="I205" s="1">
        <v>61</v>
      </c>
      <c r="J205" t="s">
        <v>138</v>
      </c>
      <c r="K205">
        <v>8</v>
      </c>
      <c r="L205">
        <v>3</v>
      </c>
      <c r="M205">
        <v>6</v>
      </c>
      <c r="O205" t="s">
        <v>9</v>
      </c>
      <c r="P205" t="s">
        <v>81</v>
      </c>
      <c r="Q205">
        <v>10</v>
      </c>
      <c r="R205">
        <v>6</v>
      </c>
      <c r="S205">
        <v>5</v>
      </c>
      <c r="W205">
        <v>13.43</v>
      </c>
      <c r="X205">
        <v>15.14</v>
      </c>
      <c r="AA205">
        <v>7</v>
      </c>
      <c r="AC205" t="s">
        <v>82</v>
      </c>
      <c r="AD205" t="s">
        <v>41</v>
      </c>
      <c r="AE205">
        <v>7</v>
      </c>
      <c r="AF205">
        <v>4</v>
      </c>
      <c r="AG205" t="str">
        <f t="shared" si="16"/>
        <v>Y</v>
      </c>
      <c r="AH205">
        <f t="shared" si="17"/>
        <v>0</v>
      </c>
      <c r="AI205">
        <f t="shared" si="18"/>
        <v>1.7100000000000009</v>
      </c>
      <c r="AJ205">
        <f t="shared" si="19"/>
        <v>0</v>
      </c>
    </row>
    <row r="206" spans="1:36" x14ac:dyDescent="0.5">
      <c r="A206" s="1">
        <v>1</v>
      </c>
      <c r="B206" s="1" t="s">
        <v>208</v>
      </c>
      <c r="C206" s="1">
        <v>0</v>
      </c>
      <c r="D206">
        <v>21</v>
      </c>
      <c r="E206">
        <v>17</v>
      </c>
      <c r="F206">
        <v>4</v>
      </c>
      <c r="G206" s="16">
        <v>0.18124999999999999</v>
      </c>
      <c r="H206">
        <v>148</v>
      </c>
      <c r="I206" s="1">
        <v>62</v>
      </c>
      <c r="J206" t="s">
        <v>138</v>
      </c>
      <c r="K206">
        <v>1</v>
      </c>
      <c r="L206">
        <v>1</v>
      </c>
      <c r="M206">
        <v>1</v>
      </c>
      <c r="O206" t="s">
        <v>136</v>
      </c>
      <c r="P206" t="s">
        <v>81</v>
      </c>
      <c r="Q206">
        <v>12</v>
      </c>
      <c r="R206">
        <v>9</v>
      </c>
      <c r="S206">
        <v>5</v>
      </c>
      <c r="T206">
        <v>1</v>
      </c>
      <c r="U206">
        <v>1</v>
      </c>
      <c r="AA206">
        <v>1</v>
      </c>
      <c r="AB206" t="s">
        <v>28</v>
      </c>
      <c r="AG206" t="str">
        <f t="shared" si="16"/>
        <v>Y</v>
      </c>
      <c r="AH206" t="str">
        <f t="shared" si="17"/>
        <v>No Catch</v>
      </c>
      <c r="AI206">
        <f t="shared" si="18"/>
        <v>0</v>
      </c>
      <c r="AJ206">
        <f t="shared" si="19"/>
        <v>0</v>
      </c>
    </row>
    <row r="207" spans="1:36" x14ac:dyDescent="0.5">
      <c r="A207" s="1">
        <v>1</v>
      </c>
      <c r="B207" s="1" t="s">
        <v>208</v>
      </c>
      <c r="C207">
        <v>1</v>
      </c>
      <c r="D207">
        <v>28</v>
      </c>
      <c r="E207">
        <v>17</v>
      </c>
      <c r="F207">
        <v>4</v>
      </c>
      <c r="G207" s="16">
        <v>9.5138888888888884E-2</v>
      </c>
      <c r="H207">
        <v>155</v>
      </c>
      <c r="I207" s="1">
        <v>63</v>
      </c>
      <c r="J207" t="s">
        <v>138</v>
      </c>
      <c r="K207">
        <v>37</v>
      </c>
      <c r="L207">
        <v>1</v>
      </c>
      <c r="M207">
        <v>10</v>
      </c>
      <c r="O207" t="s">
        <v>136</v>
      </c>
      <c r="P207" t="s">
        <v>139</v>
      </c>
      <c r="Q207">
        <v>12</v>
      </c>
      <c r="R207">
        <v>7</v>
      </c>
      <c r="S207">
        <v>5</v>
      </c>
      <c r="T207">
        <v>33</v>
      </c>
      <c r="U207">
        <v>-1</v>
      </c>
      <c r="V207">
        <v>1</v>
      </c>
      <c r="Y207">
        <v>11.63</v>
      </c>
      <c r="Z207">
        <v>13.9</v>
      </c>
      <c r="AA207">
        <v>1</v>
      </c>
      <c r="AG207" t="str">
        <f t="shared" si="16"/>
        <v>N</v>
      </c>
      <c r="AH207" t="str">
        <f t="shared" si="17"/>
        <v>No Catch</v>
      </c>
      <c r="AI207">
        <f t="shared" si="18"/>
        <v>0</v>
      </c>
      <c r="AJ207">
        <f t="shared" si="19"/>
        <v>2.2699999999999996</v>
      </c>
    </row>
    <row r="208" spans="1:36" x14ac:dyDescent="0.5">
      <c r="A208" s="1">
        <v>1</v>
      </c>
      <c r="B208" s="1" t="s">
        <v>208</v>
      </c>
      <c r="C208" s="1">
        <v>0</v>
      </c>
      <c r="D208">
        <v>28</v>
      </c>
      <c r="E208">
        <v>17</v>
      </c>
      <c r="F208">
        <v>4</v>
      </c>
      <c r="G208" s="16">
        <v>8.3333333333333329E-2</v>
      </c>
      <c r="H208">
        <v>156</v>
      </c>
      <c r="I208" s="1">
        <v>64</v>
      </c>
      <c r="J208" t="s">
        <v>138</v>
      </c>
      <c r="K208">
        <v>36</v>
      </c>
      <c r="L208">
        <v>2</v>
      </c>
      <c r="M208">
        <v>9</v>
      </c>
      <c r="O208" t="s">
        <v>136</v>
      </c>
      <c r="P208" t="s">
        <v>137</v>
      </c>
      <c r="Q208">
        <v>12</v>
      </c>
      <c r="R208">
        <v>7</v>
      </c>
      <c r="S208">
        <v>5</v>
      </c>
      <c r="T208">
        <v>33</v>
      </c>
      <c r="U208">
        <v>2</v>
      </c>
      <c r="Y208">
        <v>12.65</v>
      </c>
      <c r="Z208">
        <v>14.06</v>
      </c>
      <c r="AA208">
        <v>2</v>
      </c>
      <c r="AG208" t="str">
        <f t="shared" si="16"/>
        <v>N</v>
      </c>
      <c r="AH208" t="str">
        <f t="shared" si="17"/>
        <v>No Catch</v>
      </c>
      <c r="AI208">
        <f t="shared" si="18"/>
        <v>0</v>
      </c>
      <c r="AJ208">
        <f t="shared" si="19"/>
        <v>1.4100000000000001</v>
      </c>
    </row>
    <row r="209" spans="1:36" x14ac:dyDescent="0.5">
      <c r="A209" s="1">
        <v>1</v>
      </c>
      <c r="B209" s="1" t="s">
        <v>208</v>
      </c>
      <c r="C209" s="1">
        <v>0</v>
      </c>
      <c r="D209">
        <v>28</v>
      </c>
      <c r="E209">
        <v>17</v>
      </c>
      <c r="F209">
        <v>4</v>
      </c>
      <c r="G209" s="16">
        <v>4.9305555555555554E-2</v>
      </c>
      <c r="H209">
        <v>157</v>
      </c>
      <c r="I209" s="1">
        <v>65</v>
      </c>
      <c r="J209" t="s">
        <v>138</v>
      </c>
      <c r="K209">
        <v>34</v>
      </c>
      <c r="L209">
        <v>3</v>
      </c>
      <c r="M209">
        <v>7</v>
      </c>
      <c r="O209" t="s">
        <v>136</v>
      </c>
      <c r="P209" t="s">
        <v>81</v>
      </c>
      <c r="Q209">
        <v>12</v>
      </c>
      <c r="R209">
        <v>7</v>
      </c>
      <c r="S209">
        <v>5</v>
      </c>
      <c r="T209">
        <v>1</v>
      </c>
      <c r="U209">
        <v>9</v>
      </c>
      <c r="Y209">
        <v>13.25</v>
      </c>
      <c r="Z209">
        <v>18.16</v>
      </c>
      <c r="AA209">
        <v>11</v>
      </c>
      <c r="AG209" t="str">
        <f t="shared" si="16"/>
        <v>Y</v>
      </c>
      <c r="AH209" t="str">
        <f t="shared" si="17"/>
        <v>No Catch</v>
      </c>
      <c r="AI209">
        <f t="shared" si="18"/>
        <v>0</v>
      </c>
      <c r="AJ209">
        <f t="shared" si="19"/>
        <v>4.91</v>
      </c>
    </row>
    <row r="210" spans="1:36" x14ac:dyDescent="0.5">
      <c r="A210" s="1">
        <v>1</v>
      </c>
      <c r="B210" s="1" t="s">
        <v>208</v>
      </c>
      <c r="C210" s="1">
        <v>0</v>
      </c>
      <c r="D210">
        <v>28</v>
      </c>
      <c r="E210">
        <v>17</v>
      </c>
      <c r="F210">
        <v>4</v>
      </c>
      <c r="G210" s="16">
        <v>4.027777777777778E-2</v>
      </c>
      <c r="H210">
        <v>158</v>
      </c>
      <c r="I210" s="1">
        <v>66</v>
      </c>
      <c r="J210" t="s">
        <v>138</v>
      </c>
      <c r="K210">
        <v>23</v>
      </c>
      <c r="L210">
        <v>1</v>
      </c>
      <c r="M210">
        <v>10</v>
      </c>
      <c r="O210" t="s">
        <v>136</v>
      </c>
      <c r="P210" t="s">
        <v>81</v>
      </c>
      <c r="Q210">
        <v>12</v>
      </c>
      <c r="R210">
        <v>7</v>
      </c>
      <c r="S210">
        <v>5</v>
      </c>
      <c r="T210">
        <v>1</v>
      </c>
      <c r="U210">
        <v>6</v>
      </c>
      <c r="Y210">
        <v>4.1100000000000003</v>
      </c>
      <c r="Z210">
        <v>6.7</v>
      </c>
      <c r="AA210">
        <v>7</v>
      </c>
      <c r="AG210" t="str">
        <f t="shared" ref="AG210:AG211" si="20">IF(OR(($M210-$AA210) &lt;=0,$AB210 = "TD"), "Y", "N")</f>
        <v>N</v>
      </c>
      <c r="AH210" t="str">
        <f t="shared" ref="AH210:AH211" si="21">IF($AC210="Catch",$AA210-$AE210,"No Catch")</f>
        <v>No Catch</v>
      </c>
      <c r="AI210">
        <f t="shared" ref="AI210:AI211" si="22">$X210-$W210</f>
        <v>0</v>
      </c>
      <c r="AJ210">
        <f t="shared" ref="AJ210:AJ211" si="23">$Z210-$Y210</f>
        <v>2.59</v>
      </c>
    </row>
    <row r="211" spans="1:36" x14ac:dyDescent="0.5">
      <c r="A211" s="1">
        <v>1</v>
      </c>
      <c r="B211" s="1" t="s">
        <v>208</v>
      </c>
      <c r="C211" s="1">
        <v>0</v>
      </c>
      <c r="D211">
        <v>28</v>
      </c>
      <c r="E211">
        <v>17</v>
      </c>
      <c r="F211">
        <v>4</v>
      </c>
      <c r="G211" s="16">
        <v>1.3888888888888888E-2</v>
      </c>
      <c r="H211">
        <v>159</v>
      </c>
      <c r="I211" s="1">
        <v>67</v>
      </c>
      <c r="J211" t="s">
        <v>138</v>
      </c>
      <c r="K211">
        <v>16</v>
      </c>
      <c r="L211">
        <v>2</v>
      </c>
      <c r="M211">
        <v>3</v>
      </c>
      <c r="O211" t="s">
        <v>136</v>
      </c>
      <c r="P211" t="s">
        <v>81</v>
      </c>
      <c r="Q211">
        <v>12</v>
      </c>
      <c r="R211">
        <v>6</v>
      </c>
      <c r="S211">
        <v>5</v>
      </c>
      <c r="T211">
        <v>1</v>
      </c>
      <c r="U211">
        <v>-3</v>
      </c>
      <c r="Y211">
        <v>5.9</v>
      </c>
      <c r="Z211">
        <v>6.96</v>
      </c>
      <c r="AA211">
        <v>-2</v>
      </c>
      <c r="AG211" t="str">
        <f t="shared" si="20"/>
        <v>N</v>
      </c>
      <c r="AH211" t="str">
        <f t="shared" si="21"/>
        <v>No Catch</v>
      </c>
      <c r="AI211">
        <f t="shared" si="22"/>
        <v>0</v>
      </c>
      <c r="AJ211">
        <f t="shared" si="23"/>
        <v>1.0599999999999996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2239-D2F3-4EC5-BF46-BDF5DE4C8AB3}">
  <dimension ref="A1:BV3"/>
  <sheetViews>
    <sheetView workbookViewId="0">
      <selection activeCell="BC8" sqref="BC8"/>
    </sheetView>
  </sheetViews>
  <sheetFormatPr defaultRowHeight="14.35" x14ac:dyDescent="0.5"/>
  <cols>
    <col min="1" max="1" width="6.17578125" bestFit="1" customWidth="1"/>
    <col min="2" max="2" width="7.64453125" bestFit="1" customWidth="1"/>
    <col min="3" max="3" width="5.29296875" bestFit="1" customWidth="1"/>
    <col min="4" max="4" width="15.1171875" bestFit="1" customWidth="1"/>
    <col min="5" max="5" width="15.52734375" bestFit="1" customWidth="1"/>
    <col min="6" max="6" width="3.17578125" bestFit="1" customWidth="1"/>
    <col min="7" max="7" width="3.8203125" bestFit="1" customWidth="1"/>
    <col min="8" max="8" width="5.64453125" bestFit="1" customWidth="1"/>
    <col min="9" max="9" width="4.703125" bestFit="1" customWidth="1"/>
    <col min="10" max="10" width="3.46875" bestFit="1" customWidth="1"/>
    <col min="11" max="11" width="10.234375" bestFit="1" customWidth="1"/>
    <col min="12" max="12" width="6.234375" bestFit="1" customWidth="1"/>
    <col min="13" max="13" width="11.76171875" bestFit="1" customWidth="1"/>
    <col min="14" max="14" width="13.05859375" bestFit="1" customWidth="1"/>
    <col min="15" max="15" width="11.46875" bestFit="1" customWidth="1"/>
    <col min="16" max="16" width="7.17578125" bestFit="1" customWidth="1"/>
    <col min="17" max="17" width="5.1171875" bestFit="1" customWidth="1"/>
    <col min="18" max="18" width="19.87890625" bestFit="1" customWidth="1"/>
    <col min="19" max="19" width="12.17578125" bestFit="1" customWidth="1"/>
    <col min="20" max="20" width="6.29296875" bestFit="1" customWidth="1"/>
    <col min="21" max="21" width="6.234375" style="11" bestFit="1" customWidth="1"/>
    <col min="22" max="22" width="6.87890625" style="9" bestFit="1" customWidth="1"/>
    <col min="23" max="23" width="9.3515625" bestFit="1" customWidth="1"/>
    <col min="25" max="25" width="25.76171875" bestFit="1" customWidth="1"/>
    <col min="26" max="26" width="21.05859375" bestFit="1" customWidth="1"/>
    <col min="27" max="27" width="13" bestFit="1" customWidth="1"/>
    <col min="28" max="28" width="16" bestFit="1" customWidth="1"/>
    <col min="29" max="29" width="15.76171875" bestFit="1" customWidth="1"/>
    <col min="30" max="30" width="5.52734375" bestFit="1" customWidth="1"/>
    <col min="31" max="31" width="9.17578125" bestFit="1" customWidth="1"/>
    <col min="33" max="33" width="9.703125" bestFit="1" customWidth="1"/>
    <col min="34" max="34" width="14.29296875" bestFit="1" customWidth="1"/>
    <col min="35" max="35" width="19.76171875" bestFit="1" customWidth="1"/>
    <col min="37" max="37" width="17.17578125" bestFit="1" customWidth="1"/>
    <col min="38" max="38" width="5.234375" bestFit="1" customWidth="1"/>
    <col min="39" max="39" width="7.1171875" bestFit="1" customWidth="1"/>
    <col min="40" max="40" width="9.234375" bestFit="1" customWidth="1"/>
    <col min="41" max="41" width="3.9375" bestFit="1" customWidth="1"/>
    <col min="42" max="42" width="9" bestFit="1" customWidth="1"/>
    <col min="43" max="43" width="9.17578125" bestFit="1" customWidth="1"/>
    <col min="44" max="44" width="9.76171875" bestFit="1" customWidth="1"/>
    <col min="45" max="45" width="10.87890625" bestFit="1" customWidth="1"/>
    <col min="46" max="46" width="11.05859375" bestFit="1" customWidth="1"/>
    <col min="47" max="47" width="12.1171875" bestFit="1" customWidth="1"/>
    <col min="48" max="48" width="13.05859375" bestFit="1" customWidth="1"/>
    <col min="49" max="49" width="13.234375" bestFit="1" customWidth="1"/>
    <col min="50" max="50" width="14.29296875" bestFit="1" customWidth="1"/>
    <col min="51" max="51" width="7.703125" bestFit="1" customWidth="1"/>
    <col min="52" max="52" width="7.87890625" bestFit="1" customWidth="1"/>
    <col min="53" max="53" width="8.9375" bestFit="1" customWidth="1"/>
    <col min="55" max="55" width="18.703125" bestFit="1" customWidth="1"/>
    <col min="56" max="56" width="3.9375" bestFit="1" customWidth="1"/>
    <col min="57" max="57" width="7.1171875" bestFit="1" customWidth="1"/>
    <col min="58" max="58" width="9.234375" bestFit="1" customWidth="1"/>
    <col min="59" max="59" width="3.9375" bestFit="1" customWidth="1"/>
    <col min="60" max="60" width="6.64453125" bestFit="1" customWidth="1"/>
    <col min="61" max="61" width="6.8203125" bestFit="1" customWidth="1"/>
    <col min="62" max="62" width="7.41015625" bestFit="1" customWidth="1"/>
    <col min="63" max="63" width="10.87890625" bestFit="1" customWidth="1"/>
    <col min="64" max="64" width="11.05859375" bestFit="1" customWidth="1"/>
    <col min="65" max="65" width="12.1171875" bestFit="1" customWidth="1"/>
    <col min="66" max="66" width="13.05859375" bestFit="1" customWidth="1"/>
    <col min="67" max="67" width="13.234375" bestFit="1" customWidth="1"/>
    <col min="68" max="68" width="14.29296875" bestFit="1" customWidth="1"/>
    <col min="69" max="69" width="7.703125" bestFit="1" customWidth="1"/>
    <col min="70" max="70" width="7.87890625" bestFit="1" customWidth="1"/>
    <col min="71" max="71" width="8.9375" bestFit="1" customWidth="1"/>
    <col min="72" max="72" width="16.05859375" bestFit="1" customWidth="1"/>
    <col min="73" max="73" width="5.29296875" bestFit="1" customWidth="1"/>
    <col min="74" max="74" width="13.29296875" bestFit="1" customWidth="1"/>
  </cols>
  <sheetData>
    <row r="1" spans="1:74" s="8" customFormat="1" ht="15.7" x14ac:dyDescent="0.55000000000000004">
      <c r="A1" s="8" t="s">
        <v>75</v>
      </c>
      <c r="B1" s="6" t="s">
        <v>32</v>
      </c>
      <c r="C1" s="6" t="s">
        <v>73</v>
      </c>
      <c r="D1" s="6" t="s">
        <v>79</v>
      </c>
      <c r="E1" s="7" t="s">
        <v>144</v>
      </c>
      <c r="F1" s="6" t="s">
        <v>28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145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10" t="s">
        <v>46</v>
      </c>
      <c r="V1" s="7" t="s">
        <v>47</v>
      </c>
      <c r="W1" s="6" t="s">
        <v>48</v>
      </c>
      <c r="X1" s="6"/>
      <c r="Y1" s="6" t="s">
        <v>76</v>
      </c>
      <c r="Z1" s="6" t="s">
        <v>77</v>
      </c>
      <c r="AA1" s="7" t="s">
        <v>80</v>
      </c>
      <c r="AB1" s="6" t="s">
        <v>78</v>
      </c>
      <c r="AC1" s="6" t="s">
        <v>49</v>
      </c>
      <c r="AD1" s="6" t="s">
        <v>50</v>
      </c>
      <c r="AE1" s="6" t="s">
        <v>51</v>
      </c>
      <c r="AF1" s="6"/>
      <c r="AG1" s="6" t="s">
        <v>52</v>
      </c>
      <c r="AH1" s="6" t="s">
        <v>53</v>
      </c>
      <c r="AI1" s="6" t="s">
        <v>54</v>
      </c>
      <c r="AJ1" s="6"/>
      <c r="AK1" s="6" t="s">
        <v>55</v>
      </c>
      <c r="AL1" s="6" t="s">
        <v>149</v>
      </c>
      <c r="AM1" s="6" t="s">
        <v>57</v>
      </c>
      <c r="AN1" s="6" t="s">
        <v>58</v>
      </c>
      <c r="AO1" s="6" t="s">
        <v>59</v>
      </c>
      <c r="AP1" s="6" t="s">
        <v>150</v>
      </c>
      <c r="AQ1" s="6" t="s">
        <v>151</v>
      </c>
      <c r="AR1" s="6" t="s">
        <v>152</v>
      </c>
      <c r="AS1" s="6" t="s">
        <v>153</v>
      </c>
      <c r="AT1" s="6" t="s">
        <v>154</v>
      </c>
      <c r="AU1" s="6" t="s">
        <v>155</v>
      </c>
      <c r="AV1" s="6" t="s">
        <v>156</v>
      </c>
      <c r="AW1" s="6" t="s">
        <v>157</v>
      </c>
      <c r="AX1" s="6" t="s">
        <v>158</v>
      </c>
      <c r="AY1" s="6" t="s">
        <v>159</v>
      </c>
      <c r="AZ1" s="6" t="s">
        <v>160</v>
      </c>
      <c r="BA1" s="6" t="s">
        <v>161</v>
      </c>
      <c r="BB1" s="6"/>
      <c r="BC1" s="6" t="s">
        <v>72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6" t="s">
        <v>69</v>
      </c>
      <c r="BR1" s="6" t="s">
        <v>70</v>
      </c>
      <c r="BS1" s="6" t="s">
        <v>71</v>
      </c>
      <c r="BT1" s="6"/>
      <c r="BU1" s="6"/>
      <c r="BV1" s="7"/>
    </row>
    <row r="2" spans="1:74" x14ac:dyDescent="0.5">
      <c r="A2" t="s">
        <v>74</v>
      </c>
      <c r="B2" s="1">
        <v>5</v>
      </c>
      <c r="C2" s="1">
        <f>COUNTIFS(PlayData!$S:$S, $B2)</f>
        <v>199</v>
      </c>
      <c r="D2" s="1">
        <f>SUMIFS(PlayData!$AA:$AA,PlayData!$S:$S,$B2)</f>
        <v>1008</v>
      </c>
      <c r="E2" s="4">
        <f>$D2/$C2</f>
        <v>5.0653266331658289</v>
      </c>
      <c r="F2" s="1">
        <f>COUNTIFS(PlayData!$S:$S, $B2, PlayData!$O:$O, "Pass Attempt", PlayData!$AB:$AB, "TD")</f>
        <v>7</v>
      </c>
      <c r="G2" s="1">
        <f>COUNTIFS(PlayData!$S:$S, $B2, PlayData!$O:$O, "Pass Attempt", PlayData!$AB:$AB, "INT")</f>
        <v>4</v>
      </c>
      <c r="H2" s="1">
        <f>SUMIFS(PlayData!$AA:$AA,PlayData!$S:$S, $B2, PlayData!$O:$O, "Pass Attempt",PlayData!$AC:$AC, "Catch")</f>
        <v>523</v>
      </c>
      <c r="I2" s="1">
        <f>COUNTIFS(PlayData!$S:$S, $B2, PlayData!$O:$O, "Pass Attempt",PlayData!$AC:$AC, "Catch")</f>
        <v>53</v>
      </c>
      <c r="J2" s="1">
        <f>COUNTIFS(PlayData!$S:$S, $B2, PlayData!$O:$O, "Pass Attempt")</f>
        <v>79</v>
      </c>
      <c r="K2" s="1">
        <f>SUM($L2:$O2)</f>
        <v>16</v>
      </c>
      <c r="L2" s="1">
        <f>COUNTIFS(PlayData!$S:$S, $B2, PlayData!$AD:$AD, $L$1)</f>
        <v>9</v>
      </c>
      <c r="M2" s="1">
        <f>COUNTIFS(PlayData!$S:$S, $B2, PlayData!$AD:$AD, $M$1)</f>
        <v>0</v>
      </c>
      <c r="N2" s="1">
        <f>COUNTIFS(PlayData!$S:$S, $B2, PlayData!$AD:$AD, $N$1)</f>
        <v>2</v>
      </c>
      <c r="O2" s="1">
        <f>COUNTIFS(PlayData!$S:$S, $B2, PlayData!$AD:$AD, $O$1)</f>
        <v>5</v>
      </c>
      <c r="P2" s="1">
        <f>COUNTIFS(PlayData!$S:$S, $B2, PlayData!$AD:$AD, $P$1)</f>
        <v>58</v>
      </c>
      <c r="Q2" s="1">
        <f>COUNTIFS(PlayData!$S:$S, $B2, PlayData!$O:$O, "Pass Attempt",PlayData!$AC:$AC, "Drop")</f>
        <v>5</v>
      </c>
      <c r="R2" s="1">
        <f>COUNTIFS(PlayData!$S:$S, $B2, PlayData!$AD:$AD, "Batted")</f>
        <v>1</v>
      </c>
      <c r="S2" s="1">
        <f>COUNTIFS(PlayData!$S:$S, $B2, PlayData!$AD:$AD, "ThrowAway")</f>
        <v>4</v>
      </c>
      <c r="T2" s="1">
        <f>COUNTIFS(PlayData!$S:$S, $B2, PlayData!$AD:$AD, "Spike")</f>
        <v>0</v>
      </c>
      <c r="U2" s="4">
        <f>SUMIFS(PlayData!$AE:$AE,PlayData!$S:$S, $B2, PlayData!$O:$O, "Pass Attempt")</f>
        <v>584.5</v>
      </c>
      <c r="V2" s="4">
        <f>$U2/($J2-$R2-$S2-$T2)</f>
        <v>7.8986486486486482</v>
      </c>
      <c r="W2" s="5">
        <f>($I2+$Q2)/($J2-$R2-$S2-$T2)</f>
        <v>0.78378378378378377</v>
      </c>
      <c r="X2" s="5"/>
      <c r="Y2" s="4">
        <f>$Z2/$J2</f>
        <v>2.2224050632911392</v>
      </c>
      <c r="Z2" s="1">
        <f>SUMIFS(PlayData!$AI:$AI, PlayData!$S:$S,$B2, PlayData!$O:$O, "Pass Attempt")</f>
        <v>175.57</v>
      </c>
      <c r="AA2" s="4">
        <f>($Z2+$AB2)/($J2+$AD2)</f>
        <v>2.2182758620689658</v>
      </c>
      <c r="AB2" s="1">
        <f>SUMIFS(PlayData!$AI:$AI, PlayData!$S:$S,$B2, PlayData!$O:$O, "Sack")</f>
        <v>17.420000000000002</v>
      </c>
      <c r="AC2" s="1">
        <f>$AB2/$AD2</f>
        <v>2.1775000000000002</v>
      </c>
      <c r="AD2" s="1">
        <f>COUNTIFS(PlayData!$O:$O, "Sack",PlayData!$S:$S,PassingData!$B2)</f>
        <v>8</v>
      </c>
      <c r="AE2" s="1">
        <f>SUMIFS(PlayData!$AA:$AA, PlayData!$S:$S, $B2, PlayData!$O:$O, "Sack")</f>
        <v>-53</v>
      </c>
      <c r="AF2" s="1"/>
      <c r="AG2" s="1">
        <f>COUNTIFS(PlayData!$O:$O, "QB Scramble",PlayData!$S:$S,PassingData!$B2)</f>
        <v>8</v>
      </c>
      <c r="AH2" s="1">
        <f>SUMIFS(PlayData!$AA:$AA, PlayData!$S:$S, $B2, PlayData!$O:$O, "QB Scramble")</f>
        <v>47</v>
      </c>
      <c r="AI2" s="1">
        <f>COUNTIFS(PlayData!$S:$S, $B2, PlayData!$O:$O, "QB Scramble",PlayData!$AG:$AG, "Y")</f>
        <v>3</v>
      </c>
      <c r="AJ2" s="1"/>
      <c r="AK2" s="1" t="s">
        <v>162</v>
      </c>
      <c r="AL2" s="1">
        <f>COUNTIFS(PlayData!$O:$O, "Pass Attempt", PlayData!$S:$S, $B2, PlayData!$AE:$AE, "&lt;=0")</f>
        <v>10</v>
      </c>
      <c r="AM2" s="1">
        <f>COUNTIFS(PlayData!$O:$O, "Pass Attempt", PlayData!$S:$S, $B2, PlayData!$AE:$AE, "&gt;0",PlayData!$AE:$AE, "&lt;10")</f>
        <v>41</v>
      </c>
      <c r="AN2" s="1">
        <f>COUNTIFS(PlayData!$O:$O, "Pass Attempt", PlayData!$S:$S, $B2, PlayData!$AE:$AE, "&gt;=10",PlayData!$AE:$AE, "&lt;20")</f>
        <v>17</v>
      </c>
      <c r="AO2" s="1">
        <f>COUNTIFS(PlayData!$O:$O, "Pass Attempt", PlayData!$S:$S, $B2, PlayData!$AE:$AE, "&gt;=20")</f>
        <v>6</v>
      </c>
      <c r="AP2" s="1">
        <f>COUNTIFS(PlayData!$O:$O, "Pass Attempt", PlayData!$S:$S, $B2, PlayData!$AE:$AE, "&lt;=0", PlayData!$P:$P, "L")</f>
        <v>8</v>
      </c>
      <c r="AQ2" s="1">
        <f>COUNTIFS(PlayData!$O:$O, "Pass Attempt", PlayData!$S:$S, $B2, PlayData!$AE:$AE, "&lt;=0", PlayData!$P:$P, "M")</f>
        <v>0</v>
      </c>
      <c r="AR2" s="1">
        <f>COUNTIFS(PlayData!$O:$O, "Pass Attempt", PlayData!$S:$S, $B2, PlayData!$AE:$AE, "&lt;=0", PlayData!$P:$P, "R")</f>
        <v>2</v>
      </c>
      <c r="AS2" s="1">
        <f>COUNTIFS(PlayData!$O:$O, "Pass Attempt", PlayData!$S:$S, $B2, PlayData!$AE:$AE, "&gt;0",PlayData!$AE:$AE, "&lt;10", PlayData!$P:$P, "L")</f>
        <v>13</v>
      </c>
      <c r="AT2" s="1">
        <f>COUNTIFS(PlayData!$O:$O, "Pass Attempt", PlayData!$S:$S, $B2, PlayData!$AE:$AE, "&gt;0",PlayData!$AE:$AE, "&lt;10", PlayData!$P:$P, "M")</f>
        <v>14</v>
      </c>
      <c r="AU2" s="1">
        <f>COUNTIFS(PlayData!$O:$O, "Pass Attempt", PlayData!$S:$S, $B2, PlayData!$AE:$AE, "&gt;0",PlayData!$AE:$AE, "&lt;10", PlayData!$P:$P, "R")</f>
        <v>14</v>
      </c>
      <c r="AV2" s="1">
        <f>COUNTIFS(PlayData!$O:$O, "Pass Attempt", PlayData!$S:$S, $B2, PlayData!$AE:$AE, "&gt;=10",PlayData!$AE:$AE, "&lt;20", PlayData!$P:$P, "L")</f>
        <v>3</v>
      </c>
      <c r="AW2" s="1">
        <f>COUNTIFS(PlayData!$O:$O, "Pass Attempt", PlayData!$S:$S, $B2, PlayData!$AE:$AE, "&gt;=10",PlayData!$AE:$AE, "&lt;20", PlayData!$P:$P, "M")</f>
        <v>4</v>
      </c>
      <c r="AX2" s="1">
        <f>COUNTIFS(PlayData!$O:$O, "Pass Attempt", PlayData!$S:$S, $B2, PlayData!$AE:$AE, "&gt;=10",PlayData!$AE:$AE, "&lt;20", PlayData!$P:$P, "R")</f>
        <v>10</v>
      </c>
      <c r="AY2" s="1">
        <f>COUNTIFS(PlayData!$O:$O, "Pass Attempt", PlayData!$S:$S, $B2, PlayData!$AE:$AE, "&gt;=20",PlayData!$P:$P, "L")</f>
        <v>2</v>
      </c>
      <c r="AZ2" s="1">
        <f>COUNTIFS(PlayData!$O:$O, "Pass Attempt", PlayData!$S:$S, $B2, PlayData!$AE:$AE, "&gt;=20",PlayData!$P:$P, "M")</f>
        <v>0</v>
      </c>
      <c r="BA2" s="1">
        <f>COUNTIFS(PlayData!$O:$O, "Pass Attempt", PlayData!$S:$S, $B2, PlayData!$AE:$AE, "&gt;=20",PlayData!$P:$P, "R")</f>
        <v>4</v>
      </c>
      <c r="BB2" s="1"/>
      <c r="BC2" s="1"/>
      <c r="BD2" s="1">
        <f>COUNTIFS(PlayData!$O:$O,"Pass Attempt",PlayData!$S:$S,$B2,PlayData!$AE:$AE,"&lt;=0",PlayData!$AC:$AC,"Catch")</f>
        <v>7</v>
      </c>
      <c r="BE2" s="1">
        <f>COUNTIFS(PlayData!$O:$O, "Pass Attempt", PlayData!$S:$S, $B2, PlayData!$AE:$AE, "&gt;0",PlayData!$AE:$AE, "&lt;10",PlayData!$AC:$AC,"Catch")</f>
        <v>33</v>
      </c>
      <c r="BF2" s="1">
        <f>COUNTIFS(PlayData!$O:$O, "Pass Attempt", PlayData!$S:$S, $B2, PlayData!$AE:$AE, "&gt;=10",PlayData!$AE:$AE, "&lt;20",PlayData!$AC:$AC,"Catch")</f>
        <v>10</v>
      </c>
      <c r="BG2" s="1">
        <f>COUNTIFS(PlayData!$O:$O, "Pass Attempt", PlayData!$S:$S, $B2, PlayData!$AE:$AE, "&gt;=20",PlayData!$AC:$AC,"Catch")</f>
        <v>3</v>
      </c>
      <c r="BH2" s="1">
        <f>COUNTIFS(PlayData!$O:$O, "Pass Attempt", PlayData!$S:$S, $B2, PlayData!$AE:$AE, "&lt;=0", PlayData!$P:$P, "L", PlayData!$AC:$AC,"Catch")</f>
        <v>6</v>
      </c>
      <c r="BI2" s="1">
        <f>COUNTIFS(PlayData!$O:$O, "Pass Attempt", PlayData!$S:$S, $B2, PlayData!$AE:$AE, "&lt;=0", PlayData!$P:$P, "M",PlayData!$AC:$AC,"Catch")</f>
        <v>0</v>
      </c>
      <c r="BJ2" s="1">
        <f>COUNTIFS(PlayData!$O:$O, "Pass Attempt", PlayData!$S:$S, $B2, PlayData!$AE:$AE, "&lt;=0", PlayData!$P:$P, "R",PlayData!$AC:$AC,"Catch")</f>
        <v>1</v>
      </c>
      <c r="BK2" s="1">
        <f>COUNTIFS(PlayData!$O:$O, "Pass Attempt", PlayData!$S:$S, $B2, PlayData!$AE:$AE, "&gt;0",PlayData!$AE:$AE, "&lt;10", PlayData!$P:$P, "L",PlayData!$AC:$AC,"Catch")</f>
        <v>11</v>
      </c>
      <c r="BL2" s="1">
        <f>COUNTIFS(PlayData!$O:$O, "Pass Attempt", PlayData!$S:$S, $B2, PlayData!$AE:$AE, "&gt;0",PlayData!$AE:$AE, "&lt;10", PlayData!$P:$P, "M",PlayData!$AC:$AC,"Catch")</f>
        <v>8</v>
      </c>
      <c r="BM2" s="1">
        <f>COUNTIFS(PlayData!$O:$O, "Pass Attempt", PlayData!$S:$S, $B2, PlayData!$AE:$AE, "&gt;0",PlayData!$AE:$AE, "&lt;10", PlayData!$P:$P, "R",PlayData!$AC:$AC,"Catch")</f>
        <v>14</v>
      </c>
      <c r="BN2" s="1">
        <f>COUNTIFS(PlayData!$O:$O, "Pass Attempt", PlayData!$S:$S, $B2, PlayData!$AE:$AE, "&gt;=10",PlayData!$AE:$AE, "&lt;20", PlayData!$P:$P, "L",PlayData!$AC:$AC,"Catch")</f>
        <v>3</v>
      </c>
      <c r="BO2" s="1">
        <f>COUNTIFS(PlayData!$O:$O, "Pass Attempt", PlayData!$S:$S, $B2, PlayData!$AE:$AE, "&gt;=10",PlayData!$AE:$AE, "&lt;20", PlayData!$P:$P, "M",PlayData!$AC:$AC,"Catch")</f>
        <v>2</v>
      </c>
      <c r="BP2" s="1">
        <f>COUNTIFS(PlayData!$O:$O, "Pass Attempt", PlayData!$S:$S, $B2, PlayData!$AE:$AE, "&gt;=10",PlayData!$AE:$AE, "&lt;20", PlayData!$P:$P, "R",PlayData!$AC:$AC,"Catch")</f>
        <v>5</v>
      </c>
      <c r="BQ2" s="1">
        <f>COUNTIFS(PlayData!$O:$O, "Pass Attempt", PlayData!$S:$S, $B2, PlayData!$AE:$AE, "&gt;=20",PlayData!$P:$P, "L",PlayData!$AC:$AC,"Catch")</f>
        <v>2</v>
      </c>
      <c r="BR2" s="1">
        <f>COUNTIFS(PlayData!$O:$O, "Pass Attempt", PlayData!$S:$S, $B2, PlayData!$AE:$AE, "&gt;=20",PlayData!$P:$P, "M",PlayData!$AC:$AC,"Catch")</f>
        <v>0</v>
      </c>
      <c r="BS2" s="1">
        <f>COUNTIFS(PlayData!$O:$O, "Pass Attempt", PlayData!$S:$S, $B2, PlayData!$AE:$AE, "&gt;=20",PlayData!$P:$P, "R",PlayData!$AC:$AC,"Catch")</f>
        <v>1</v>
      </c>
      <c r="BT2" s="1"/>
      <c r="BU2" s="1"/>
      <c r="BV2" s="4"/>
    </row>
    <row r="3" spans="1:74" x14ac:dyDescent="0.5">
      <c r="AK3" t="s">
        <v>163</v>
      </c>
      <c r="AL3" s="1">
        <v>3</v>
      </c>
      <c r="AM3" s="1">
        <v>10</v>
      </c>
      <c r="AN3" s="1">
        <v>4</v>
      </c>
      <c r="AO3" s="1">
        <v>0</v>
      </c>
      <c r="AP3" s="1">
        <v>3</v>
      </c>
      <c r="AQ3" s="1">
        <v>0</v>
      </c>
      <c r="AR3" s="1">
        <v>0</v>
      </c>
      <c r="AS3" s="1">
        <v>1</v>
      </c>
      <c r="AT3" s="1">
        <v>5</v>
      </c>
      <c r="AU3" s="1">
        <v>4</v>
      </c>
      <c r="AV3" s="1">
        <v>0</v>
      </c>
      <c r="AW3" s="1">
        <v>1</v>
      </c>
      <c r="AX3" s="1">
        <v>3</v>
      </c>
      <c r="AY3" s="1">
        <v>0</v>
      </c>
      <c r="AZ3" s="1">
        <v>0</v>
      </c>
      <c r="BA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7095-D42B-4EAD-9CE2-DA39394453CB}">
  <dimension ref="A1:S5"/>
  <sheetViews>
    <sheetView workbookViewId="0">
      <selection activeCell="I11" sqref="I11"/>
    </sheetView>
  </sheetViews>
  <sheetFormatPr defaultRowHeight="14.35" x14ac:dyDescent="0.5"/>
  <cols>
    <col min="5" max="5" width="10.17578125" bestFit="1" customWidth="1"/>
    <col min="8" max="8" width="11.5859375" bestFit="1" customWidth="1"/>
    <col min="9" max="9" width="12.64453125" bestFit="1" customWidth="1"/>
    <col min="10" max="10" width="13.703125" bestFit="1" customWidth="1"/>
    <col min="13" max="13" width="20.1171875" bestFit="1" customWidth="1"/>
    <col min="14" max="14" width="19.05859375" bestFit="1" customWidth="1"/>
    <col min="15" max="15" width="23.1171875" bestFit="1" customWidth="1"/>
    <col min="16" max="16" width="16.52734375" bestFit="1" customWidth="1"/>
    <col min="17" max="17" width="15.29296875" bestFit="1" customWidth="1"/>
    <col min="18" max="18" width="12.703125" bestFit="1" customWidth="1"/>
    <col min="19" max="19" width="11.64453125" bestFit="1" customWidth="1"/>
  </cols>
  <sheetData>
    <row r="1" spans="1:19" x14ac:dyDescent="0.5">
      <c r="A1" t="s">
        <v>83</v>
      </c>
      <c r="B1" t="s">
        <v>84</v>
      </c>
      <c r="C1" t="s">
        <v>36</v>
      </c>
      <c r="D1" t="s">
        <v>34</v>
      </c>
      <c r="E1" s="9" t="s">
        <v>85</v>
      </c>
      <c r="F1" t="s">
        <v>28</v>
      </c>
      <c r="G1" t="s">
        <v>86</v>
      </c>
      <c r="H1" t="s">
        <v>87</v>
      </c>
      <c r="I1" t="s">
        <v>94</v>
      </c>
      <c r="J1" t="s">
        <v>95</v>
      </c>
      <c r="K1" t="s">
        <v>88</v>
      </c>
      <c r="L1" t="s">
        <v>30</v>
      </c>
      <c r="M1" t="s">
        <v>89</v>
      </c>
      <c r="N1" t="s">
        <v>90</v>
      </c>
      <c r="O1" t="s">
        <v>165</v>
      </c>
      <c r="P1" t="s">
        <v>29</v>
      </c>
      <c r="Q1" t="s">
        <v>91</v>
      </c>
      <c r="R1" t="s">
        <v>92</v>
      </c>
      <c r="S1" t="s">
        <v>93</v>
      </c>
    </row>
    <row r="2" spans="1:19" x14ac:dyDescent="0.5">
      <c r="A2">
        <v>33</v>
      </c>
      <c r="B2" t="s">
        <v>164</v>
      </c>
      <c r="C2">
        <f>COUNTIFS(PlayData!$T:$T,RunningData!$A2,PlayData!$O:$O,"Run")</f>
        <v>46</v>
      </c>
      <c r="D2">
        <f>SUMIFS(PlayData!$AA:$AA,PlayData!$T:$T,$A2, PlayData!$O:$O, "Run")</f>
        <v>201</v>
      </c>
      <c r="E2" s="9">
        <f t="shared" ref="E2:E5" si="0">$D2/$C2</f>
        <v>4.3695652173913047</v>
      </c>
      <c r="F2">
        <f>COUNTIFS(PlayData!T:T, $A2,PlayData!$O:$O, "Run",PlayData!$AB:$AB, "TD")</f>
        <v>3</v>
      </c>
      <c r="G2">
        <f>COUNTIFS(PlayData!T:T, $A2,PlayData!$O:$O, "Run",PlayData!$AB:$AB, "Fumble")</f>
        <v>0</v>
      </c>
      <c r="H2">
        <f>COUNTIFS(PlayData!$O:$O,"Run", PlayData!$T:$T, $A2, PlayData!$AA:$AA, "&lt;0")</f>
        <v>6</v>
      </c>
      <c r="I2">
        <f>COUNTIFS(PlayData!$O:$O,"Run", PlayData!$T:$T, $A2, PlayData!$AA:$AA, "&gt;=0", PlayData!$AA:$AA, "&lt;=4")</f>
        <v>27</v>
      </c>
      <c r="J2">
        <f>COUNTIFS(PlayData!$O:$O,"Run", PlayData!$T:$T, $A2, PlayData!$AA:$AA, "&gt;4", PlayData!$AA:$AA, "&lt;=10")</f>
        <v>8</v>
      </c>
      <c r="K2">
        <f>COUNTIFS(PlayData!$O:$O,"Run",PlayData!$T:$T,$A2,PlayData!$AA:$AA,"&gt;10")</f>
        <v>5</v>
      </c>
      <c r="L2">
        <f>SUMIFS(PlayData!$V:$V,PlayData!$T:$T,$A2, PlayData!$O:$O, "Run")</f>
        <v>10</v>
      </c>
      <c r="M2">
        <f>SUMIFS(PlayData!$AJ:$AJ,PlayData!$O:$O, "Run",PlayData!$T:$T, $A2)</f>
        <v>69.11</v>
      </c>
      <c r="N2">
        <f t="shared" ref="N2:N5" si="1">$M2/$C2</f>
        <v>1.5023913043478261</v>
      </c>
      <c r="O2">
        <f>$P2/$C2</f>
        <v>0.86956521739130432</v>
      </c>
      <c r="P2">
        <f>SUMIFS(PlayData!$U:$U, PlayData!$T:$T, $A2, PlayData!$O:$O, "Run")</f>
        <v>40</v>
      </c>
      <c r="Q2">
        <f t="shared" ref="Q2:Q5" si="2">$D2-$P2</f>
        <v>161</v>
      </c>
      <c r="R2">
        <f>SUMIFS(PlayData!$R:$R, PlayData!$T:$T, $A2, PlayData!$O:$O, "Run")</f>
        <v>327</v>
      </c>
      <c r="S2">
        <f t="shared" ref="S2:S5" si="3">$R2/$C2</f>
        <v>7.1086956521739131</v>
      </c>
    </row>
    <row r="3" spans="1:19" x14ac:dyDescent="0.5">
      <c r="A3">
        <v>1</v>
      </c>
      <c r="B3" t="s">
        <v>187</v>
      </c>
      <c r="C3">
        <f>COUNTIFS(PlayData!$T:$T,RunningData!$A3,PlayData!$O:$O,"Run")</f>
        <v>41</v>
      </c>
      <c r="D3">
        <f>SUMIFS(PlayData!$AA:$AA,PlayData!$T:$T,$A3, PlayData!$O:$O, "Run")</f>
        <v>190</v>
      </c>
      <c r="E3" s="9">
        <f t="shared" si="0"/>
        <v>4.6341463414634143</v>
      </c>
      <c r="F3">
        <f>COUNTIFS(PlayData!T:T, $A3,PlayData!$O:$O, "Run",PlayData!$AB:$AB, "TD")</f>
        <v>1</v>
      </c>
      <c r="G3">
        <f>COUNTIFS(PlayData!T:T, $A3,PlayData!$O:$O, "Run",PlayData!$AB:$AB, "Fumble")</f>
        <v>1</v>
      </c>
      <c r="H3">
        <f>COUNTIFS(PlayData!$O:$O,"Run", PlayData!$T:$T, $A3, PlayData!$AA:$AA, "&lt;0")</f>
        <v>3</v>
      </c>
      <c r="I3">
        <f>COUNTIFS(PlayData!$O:$O,"Run", PlayData!$T:$T, $A3, PlayData!$AA:$AA, "&gt;=0", PlayData!$AA:$AA, "&lt;=4")</f>
        <v>20</v>
      </c>
      <c r="J3">
        <f>COUNTIFS(PlayData!$O:$O,"Run", PlayData!$T:$T, $A3, PlayData!$AA:$AA, "&gt;4", PlayData!$AA:$AA, "&lt;=10")</f>
        <v>11</v>
      </c>
      <c r="K3">
        <f>COUNTIFS(PlayData!$O:$O,"Run",PlayData!$T:$T,$A3,PlayData!$AA:$AA,"&gt;10")</f>
        <v>7</v>
      </c>
      <c r="L3">
        <f>SUMIFS(PlayData!$V:$V,PlayData!$T:$T,$A3, PlayData!$O:$O, "Run")</f>
        <v>1</v>
      </c>
      <c r="M3">
        <f>SUMIFS(PlayData!$AJ:$AJ,PlayData!$O:$O, "Run",PlayData!$T:$T, $A3)</f>
        <v>81.509999999999962</v>
      </c>
      <c r="N3">
        <f t="shared" si="1"/>
        <v>1.988048780487804</v>
      </c>
      <c r="O3">
        <f t="shared" ref="O3:O5" si="4">$P3/$C3</f>
        <v>2.4146341463414633</v>
      </c>
      <c r="P3">
        <f>SUMIFS(PlayData!$U:$U, PlayData!$T:$T, $A3, PlayData!$O:$O, "Run")</f>
        <v>99</v>
      </c>
      <c r="Q3">
        <f t="shared" si="2"/>
        <v>91</v>
      </c>
      <c r="R3">
        <f>SUMIFS(PlayData!$R:$R, PlayData!$T:$T, $A3, PlayData!$O:$O, "Run")</f>
        <v>288</v>
      </c>
      <c r="S3">
        <f t="shared" si="3"/>
        <v>7.024390243902439</v>
      </c>
    </row>
    <row r="4" spans="1:19" x14ac:dyDescent="0.5">
      <c r="A4">
        <v>4</v>
      </c>
      <c r="C4">
        <f>COUNTIFS(PlayData!$T:$T,RunningData!$A4,PlayData!$O:$O,"Run")</f>
        <v>1</v>
      </c>
      <c r="D4">
        <f>SUMIFS(PlayData!$AA:$AA,PlayData!$T:$T,$A4, PlayData!$O:$O, "Run")</f>
        <v>0</v>
      </c>
      <c r="E4" s="9">
        <f t="shared" si="0"/>
        <v>0</v>
      </c>
      <c r="F4">
        <f>COUNTIFS(PlayData!T:T, $A4,PlayData!$O:$O, "Run",PlayData!$AB:$AB, "TD")</f>
        <v>0</v>
      </c>
      <c r="G4">
        <f>COUNTIFS(PlayData!T:T, $A4,PlayData!$O:$O, "Run",PlayData!$AB:$AB, "Fumble")</f>
        <v>0</v>
      </c>
      <c r="H4">
        <f>COUNTIFS(PlayData!$O:$O,"Run", PlayData!$T:$T, $A4, PlayData!$AA:$AA, "&lt;0")</f>
        <v>0</v>
      </c>
      <c r="I4">
        <f>COUNTIFS(PlayData!$O:$O,"Run", PlayData!$T:$T, $A4, PlayData!$AA:$AA, "&gt;=0", PlayData!$AA:$AA, "&lt;=4")</f>
        <v>1</v>
      </c>
      <c r="J4">
        <f>COUNTIFS(PlayData!$O:$O,"Run", PlayData!$T:$T, $A4, PlayData!$AA:$AA, "&gt;4", PlayData!$AA:$AA, "&lt;=10")</f>
        <v>0</v>
      </c>
      <c r="K4">
        <f>COUNTIFS(PlayData!$O:$O,"Run",PlayData!$T:$T,$A4,PlayData!$AA:$AA,"&gt;10")</f>
        <v>0</v>
      </c>
      <c r="L4">
        <f>SUMIFS(PlayData!$V:$V,PlayData!$T:$T,$A4, PlayData!$O:$O, "Run")</f>
        <v>0</v>
      </c>
      <c r="M4">
        <f>SUMIFS(PlayData!$AJ:$AJ,PlayData!$O:$O, "Run",PlayData!$T:$T, $A4)</f>
        <v>1.5300000000000002</v>
      </c>
      <c r="N4">
        <f t="shared" si="1"/>
        <v>1.5300000000000002</v>
      </c>
      <c r="O4">
        <f t="shared" si="4"/>
        <v>-1</v>
      </c>
      <c r="P4">
        <f>SUMIFS(PlayData!$U:$U, PlayData!$T:$T, $A4, PlayData!$O:$O, "Run")</f>
        <v>-1</v>
      </c>
      <c r="Q4">
        <f t="shared" si="2"/>
        <v>1</v>
      </c>
      <c r="R4">
        <f>SUMIFS(PlayData!$R:$R, PlayData!$T:$T, $A4, PlayData!$O:$O, "Run")</f>
        <v>7</v>
      </c>
      <c r="S4">
        <f t="shared" si="3"/>
        <v>7</v>
      </c>
    </row>
    <row r="5" spans="1:19" x14ac:dyDescent="0.5">
      <c r="A5">
        <v>5</v>
      </c>
      <c r="B5" t="s">
        <v>74</v>
      </c>
      <c r="C5">
        <f>COUNTIFS(PlayData!$T:$T,RunningData!$A5,PlayData!$O:$O,"Run")</f>
        <v>6</v>
      </c>
      <c r="D5">
        <f>SUMIFS(PlayData!$AA:$AA,PlayData!$T:$T,$A5, PlayData!$O:$O, "Run")</f>
        <v>36</v>
      </c>
      <c r="E5" s="9">
        <f t="shared" si="0"/>
        <v>6</v>
      </c>
      <c r="F5">
        <f>COUNTIFS(PlayData!T:T, $A5,PlayData!$O:$O, "Run",PlayData!$AB:$AB, "TD")</f>
        <v>0</v>
      </c>
      <c r="G5">
        <f>COUNTIFS(PlayData!T:T, $A5,PlayData!$O:$O, "Run",PlayData!$AB:$AB, "Fumble")</f>
        <v>0</v>
      </c>
      <c r="H5">
        <f>COUNTIFS(PlayData!$O:$O,"Run", PlayData!$T:$T, $A5, PlayData!$AA:$AA, "&lt;0")</f>
        <v>3</v>
      </c>
      <c r="I5">
        <f>COUNTIFS(PlayData!$O:$O,"Run", PlayData!$T:$T, $A5, PlayData!$AA:$AA, "&gt;=0", PlayData!$AA:$AA, "&lt;=4")</f>
        <v>0</v>
      </c>
      <c r="J5">
        <f>COUNTIFS(PlayData!$O:$O,"Run", PlayData!$T:$T, $A5, PlayData!$AA:$AA, "&gt;4", PlayData!$AA:$AA, "&lt;=10")</f>
        <v>1</v>
      </c>
      <c r="K5">
        <f>COUNTIFS(PlayData!$O:$O,"Run",PlayData!$T:$T,$A5,PlayData!$AA:$AA,"&gt;10")</f>
        <v>2</v>
      </c>
      <c r="L5">
        <f>SUMIFS(PlayData!$V:$V,PlayData!$T:$T,$A5, PlayData!$O:$O, "Run")</f>
        <v>0</v>
      </c>
      <c r="M5">
        <f>SUMIFS(PlayData!$AJ:$AJ,PlayData!$O:$O, "Run",PlayData!$T:$T, $A5)</f>
        <v>22.19</v>
      </c>
      <c r="N5">
        <f t="shared" si="1"/>
        <v>3.6983333333333337</v>
      </c>
      <c r="O5">
        <f t="shared" si="4"/>
        <v>5.666666666666667</v>
      </c>
      <c r="P5">
        <f>SUMIFS(PlayData!$U:$U, PlayData!$T:$T, $A5, PlayData!$O:$O, "Run")</f>
        <v>34</v>
      </c>
      <c r="Q5">
        <f t="shared" si="2"/>
        <v>2</v>
      </c>
      <c r="R5">
        <f>SUMIFS(PlayData!$R:$R, PlayData!$T:$T, $A5, PlayData!$O:$O, "Run")</f>
        <v>45</v>
      </c>
      <c r="S5">
        <f t="shared" si="3"/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6128-344E-494C-BC99-D8517BC5EBA4}">
  <dimension ref="A1:AZ8"/>
  <sheetViews>
    <sheetView workbookViewId="0">
      <selection activeCell="K15" sqref="K15"/>
    </sheetView>
  </sheetViews>
  <sheetFormatPr defaultRowHeight="14.35" x14ac:dyDescent="0.5"/>
  <cols>
    <col min="1" max="1" width="7.41015625" bestFit="1" customWidth="1"/>
    <col min="2" max="2" width="7.64453125" bestFit="1" customWidth="1"/>
    <col min="3" max="3" width="6.703125" bestFit="1" customWidth="1"/>
    <col min="4" max="4" width="7" bestFit="1" customWidth="1"/>
    <col min="5" max="5" width="5.5859375" bestFit="1" customWidth="1"/>
    <col min="6" max="6" width="8.17578125" bestFit="1" customWidth="1"/>
    <col min="7" max="7" width="4.76171875" bestFit="1" customWidth="1"/>
    <col min="8" max="8" width="10.8203125" bestFit="1" customWidth="1"/>
    <col min="9" max="9" width="5.41015625" bestFit="1" customWidth="1"/>
    <col min="10" max="10" width="5.46875" bestFit="1" customWidth="1"/>
    <col min="11" max="11" width="4.76171875" bestFit="1" customWidth="1"/>
    <col min="12" max="12" width="11.76171875" bestFit="1" customWidth="1"/>
    <col min="13" max="13" width="11.1171875" bestFit="1" customWidth="1"/>
    <col min="14" max="14" width="7.5859375" bestFit="1" customWidth="1"/>
    <col min="15" max="15" width="8.234375" bestFit="1" customWidth="1"/>
    <col min="16" max="16" width="4.9375" bestFit="1" customWidth="1"/>
    <col min="17" max="17" width="5.17578125" bestFit="1" customWidth="1"/>
    <col min="18" max="18" width="7.64453125" bestFit="1" customWidth="1"/>
    <col min="19" max="19" width="5.05859375" bestFit="1" customWidth="1"/>
    <col min="20" max="20" width="8.41015625" bestFit="1" customWidth="1"/>
    <col min="21" max="21" width="8.5859375" bestFit="1" customWidth="1"/>
    <col min="22" max="22" width="9.5859375" bestFit="1" customWidth="1"/>
    <col min="23" max="23" width="8.64453125" bestFit="1" customWidth="1"/>
    <col min="24" max="24" width="8.8203125" bestFit="1" customWidth="1"/>
    <col min="25" max="25" width="9.8203125" bestFit="1" customWidth="1"/>
    <col min="26" max="26" width="11.1171875" bestFit="1" customWidth="1"/>
    <col min="27" max="27" width="11.29296875" bestFit="1" customWidth="1"/>
    <col min="28" max="28" width="12.29296875" bestFit="1" customWidth="1"/>
    <col min="29" max="29" width="8.52734375" bestFit="1" customWidth="1"/>
    <col min="30" max="30" width="8.703125" bestFit="1" customWidth="1"/>
    <col min="31" max="31" width="9.703125" bestFit="1" customWidth="1"/>
    <col min="32" max="32" width="16.1171875" bestFit="1" customWidth="1"/>
    <col min="33" max="33" width="15.8203125" bestFit="1" customWidth="1"/>
    <col min="34" max="34" width="21.76171875" bestFit="1" customWidth="1"/>
    <col min="36" max="36" width="8.52734375" bestFit="1" customWidth="1"/>
    <col min="37" max="37" width="3.64453125" bestFit="1" customWidth="1"/>
    <col min="38" max="38" width="6.64453125" bestFit="1" customWidth="1"/>
    <col min="39" max="39" width="8.64453125" bestFit="1" customWidth="1"/>
    <col min="40" max="40" width="3.703125" bestFit="1" customWidth="1"/>
    <col min="41" max="41" width="8.41015625" bestFit="1" customWidth="1"/>
    <col min="42" max="42" width="8.5859375" bestFit="1" customWidth="1"/>
    <col min="43" max="43" width="9.5859375" bestFit="1" customWidth="1"/>
    <col min="44" max="44" width="8.64453125" bestFit="1" customWidth="1"/>
    <col min="45" max="45" width="8.8203125" bestFit="1" customWidth="1"/>
    <col min="46" max="46" width="9.8203125" bestFit="1" customWidth="1"/>
    <col min="47" max="47" width="11.1171875" bestFit="1" customWidth="1"/>
    <col min="48" max="48" width="11.29296875" bestFit="1" customWidth="1"/>
    <col min="49" max="49" width="12.29296875" bestFit="1" customWidth="1"/>
    <col min="50" max="50" width="8.52734375" bestFit="1" customWidth="1"/>
    <col min="51" max="51" width="8.703125" bestFit="1" customWidth="1"/>
    <col min="52" max="52" width="9.703125" bestFit="1" customWidth="1"/>
  </cols>
  <sheetData>
    <row r="1" spans="1:52" s="3" customFormat="1" x14ac:dyDescent="0.5">
      <c r="A1" s="3" t="s">
        <v>75</v>
      </c>
      <c r="B1" s="2" t="s">
        <v>96</v>
      </c>
      <c r="C1" s="2" t="s">
        <v>104</v>
      </c>
      <c r="D1" s="2" t="s">
        <v>97</v>
      </c>
      <c r="E1" s="2" t="s">
        <v>98</v>
      </c>
      <c r="F1" s="2" t="s">
        <v>99</v>
      </c>
      <c r="G1" s="2" t="s">
        <v>46</v>
      </c>
      <c r="H1" s="2" t="s">
        <v>100</v>
      </c>
      <c r="I1" s="12" t="s">
        <v>47</v>
      </c>
      <c r="J1" s="12" t="s">
        <v>107</v>
      </c>
      <c r="K1" s="2" t="s">
        <v>101</v>
      </c>
      <c r="L1" s="2" t="s">
        <v>102</v>
      </c>
      <c r="M1" s="2" t="s">
        <v>103</v>
      </c>
      <c r="N1" s="2" t="s">
        <v>86</v>
      </c>
      <c r="O1" s="2" t="s">
        <v>108</v>
      </c>
      <c r="P1" s="2" t="s">
        <v>149</v>
      </c>
      <c r="Q1" s="2" t="s">
        <v>167</v>
      </c>
      <c r="R1" s="2" t="s">
        <v>166</v>
      </c>
      <c r="S1" s="2" t="s">
        <v>168</v>
      </c>
      <c r="T1" s="2" t="s">
        <v>150</v>
      </c>
      <c r="U1" s="2" t="s">
        <v>151</v>
      </c>
      <c r="V1" s="2" t="s">
        <v>173</v>
      </c>
      <c r="W1" s="2" t="s">
        <v>153</v>
      </c>
      <c r="X1" s="2" t="s">
        <v>154</v>
      </c>
      <c r="Y1" s="2" t="s">
        <v>155</v>
      </c>
      <c r="Z1" s="2" t="s">
        <v>174</v>
      </c>
      <c r="AA1" s="2" t="s">
        <v>175</v>
      </c>
      <c r="AB1" s="2" t="s">
        <v>176</v>
      </c>
      <c r="AC1" s="2" t="s">
        <v>159</v>
      </c>
      <c r="AD1" s="2" t="s">
        <v>160</v>
      </c>
      <c r="AE1" s="2" t="s">
        <v>161</v>
      </c>
      <c r="AF1" s="2" t="s">
        <v>105</v>
      </c>
      <c r="AG1" s="2" t="s">
        <v>106</v>
      </c>
      <c r="AH1" s="2" t="s">
        <v>143</v>
      </c>
      <c r="AJ1" s="3" t="s">
        <v>109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150</v>
      </c>
      <c r="AP1" s="2" t="s">
        <v>151</v>
      </c>
      <c r="AQ1" s="2" t="s">
        <v>173</v>
      </c>
      <c r="AR1" s="2" t="s">
        <v>153</v>
      </c>
      <c r="AS1" s="2" t="s">
        <v>154</v>
      </c>
      <c r="AT1" s="2" t="s">
        <v>155</v>
      </c>
      <c r="AU1" s="2" t="s">
        <v>174</v>
      </c>
      <c r="AV1" s="2" t="s">
        <v>175</v>
      </c>
      <c r="AW1" s="2" t="s">
        <v>176</v>
      </c>
      <c r="AX1" s="2" t="s">
        <v>159</v>
      </c>
      <c r="AY1" s="2" t="s">
        <v>160</v>
      </c>
      <c r="AZ1" s="2" t="s">
        <v>161</v>
      </c>
    </row>
    <row r="2" spans="1:52" x14ac:dyDescent="0.5">
      <c r="A2" t="s">
        <v>169</v>
      </c>
      <c r="B2" s="1">
        <v>6</v>
      </c>
      <c r="C2" s="1">
        <f>COUNTIFS(PlayData!$O:$O, "Pass Attempt",PlayData!$AF:$AF,ReceivingData!$B2)</f>
        <v>14</v>
      </c>
      <c r="D2" s="1">
        <f>COUNTIFS(PlayData!$O:$O, "Pass Attempt", PlayData!$AC:$AC, "Catch", PlayData!$AF:$AF, $B2)</f>
        <v>11</v>
      </c>
      <c r="E2" s="1">
        <f>COUNTIFS(PlayData!$O:$O, "Pass Attempt", PlayData!$AC:$AC, "Drop", PlayData!$AF:$AF, $B2)</f>
        <v>1</v>
      </c>
      <c r="F2" s="1">
        <f>SUMIFS(PlayData!$AA:$AA, PlayData!$O:$O, "Pass Attempt", PlayData!$AC:$AC, "Catch", PlayData!$AF:$AF,ReceivingData!$B2)</f>
        <v>120</v>
      </c>
      <c r="G2" s="1">
        <f>SUMIFS(PlayData!$AE:$AE, PlayData!$O:$O,"Pass Attempt", PlayData!$AF:$AF,$B2)</f>
        <v>155</v>
      </c>
      <c r="H2" s="1">
        <f>SUMIFS(PlayData!$AE:$AE, PlayData!$O:$O,"Pass Attempt", PlayData!$AF:$AF,$B2, PlayData!$AC:$AC, "Catch")</f>
        <v>106</v>
      </c>
      <c r="I2" s="4">
        <f>$G2/$C2</f>
        <v>11.071428571428571</v>
      </c>
      <c r="J2" s="4">
        <f>$H2/$D2</f>
        <v>9.6363636363636367</v>
      </c>
      <c r="K2" s="1">
        <f>SUMIFS(PlayData!$AH:$AH, PlayData!$O:$O, "Pass Attempt", PlayData!$AF:$AF, $B2)</f>
        <v>14</v>
      </c>
      <c r="L2" s="1">
        <f>$K2/$D2</f>
        <v>1.2727272727272727</v>
      </c>
      <c r="M2" s="1">
        <f>COUNTIFS(PlayData!$O:$O, "Pass Attempt", PlayData!$AF:$AF, $B2, PlayData!$AB:$AB, "TD")</f>
        <v>1</v>
      </c>
      <c r="N2" s="1">
        <f>COUNTIFS(PlayData!$O:$O, "Pass Attempt", PlayData!$AF:$AF, $B2, PlayData!$AB:$AB, "Fumble")</f>
        <v>0</v>
      </c>
      <c r="O2" s="1"/>
      <c r="P2" s="1">
        <f>COUNTIFS(PlayData!$O:$O, "Pass Attempt",PlayData!$AF:$AF,ReceivingData!$B2,PlayData!$AE:$AE, "&lt;=0")</f>
        <v>0</v>
      </c>
      <c r="Q2" s="1">
        <f>COUNTIFS(PlayData!$O:$O, "Pass Attempt",PlayData!$AF:$AF,ReceivingData!$B2,PlayData!$AE:$AE, "&gt;0",PlayData!$AE:$AE, "&lt;10" )</f>
        <v>7</v>
      </c>
      <c r="R2" s="1">
        <f>COUNTIFS(PlayData!$O:$O, "Pass Attempt",PlayData!$AF:$AF,ReceivingData!$B2,PlayData!$AE:$AE, "&gt;=10",PlayData!$AE:$AE, "&lt;20" )</f>
        <v>5</v>
      </c>
      <c r="S2" s="1">
        <f>COUNTIFS(PlayData!$O:$O, "Pass Attempt",PlayData!$AF:$AF,ReceivingData!$B2,PlayData!$AE:$AE, "&gt;=20")</f>
        <v>2</v>
      </c>
      <c r="T2" s="1">
        <f>COUNTIFS(PlayData!$O:$O, "Pass Attempt",PlayData!$AF:$AF,ReceivingData!$B2,PlayData!$AE:$AE, "&lt;=0", PlayData!$P:$P, "L")</f>
        <v>0</v>
      </c>
      <c r="U2" s="1">
        <f>COUNTIFS(PlayData!$O:$O, "Pass Attempt",PlayData!$AF:$AF,ReceivingData!$B2,PlayData!$AE:$AE, "&lt;=0", PlayData!$P:$P, "M")</f>
        <v>0</v>
      </c>
      <c r="V2" s="1">
        <f>COUNTIFS(PlayData!$O:$O, "Pass Attempt",PlayData!$AF:$AF,ReceivingData!$B2,PlayData!$AE:$AE, "&lt;=0", PlayData!$P:$P, "R")</f>
        <v>0</v>
      </c>
      <c r="W2" s="1">
        <f>COUNTIFS(PlayData!$O:$O, "Pass Attempt",PlayData!$AF:$AF,ReceivingData!$B2,PlayData!$AE:$AE, "&gt;0",PlayData!$AE:$AE, "&lt;10",PlayData!$P:$P, "L")</f>
        <v>3</v>
      </c>
      <c r="X2" s="1">
        <f>COUNTIFS(PlayData!$O:$O, "Pass Attempt",PlayData!$AF:$AF,ReceivingData!$B2,PlayData!$AE:$AE, "&gt;0",PlayData!$AE:$AE, "&lt;10",PlayData!$P:$P, "M")</f>
        <v>1</v>
      </c>
      <c r="Y2" s="1">
        <f>COUNTIFS(PlayData!$O:$O, "Pass Attempt",PlayData!$AF:$AF,ReceivingData!$B2,PlayData!$AE:$AE, "&gt;0",PlayData!$AE:$AE, "&lt;10",PlayData!$P:$P, "R")</f>
        <v>3</v>
      </c>
      <c r="Z2" s="1">
        <f>COUNTIFS(PlayData!$O:$O, "Pass Attempt",PlayData!$AF:$AF,ReceivingData!$B2,PlayData!$AE:$AE, "&gt;=10",PlayData!$AE:$AE, "&lt;20",PlayData!$P:$P, "L")</f>
        <v>1</v>
      </c>
      <c r="AA2" s="1">
        <f>COUNTIFS(PlayData!$O:$O, "Pass Attempt",PlayData!$AF:$AF,ReceivingData!$B2,PlayData!$AE:$AE, "&gt;=10",PlayData!$AE:$AE, "&lt;20",PlayData!$P:$P, "M")</f>
        <v>1</v>
      </c>
      <c r="AB2" s="1">
        <f>COUNTIFS(PlayData!$O:$O, "Pass Attempt",PlayData!$AF:$AF,ReceivingData!$B2,PlayData!$AE:$AE, "&gt;=10",PlayData!$AE:$AE, "&lt;20",PlayData!$P:$P, "R")</f>
        <v>3</v>
      </c>
      <c r="AC2" s="1">
        <f>COUNTIFS(PlayData!$O:$O, "Pass Attempt",PlayData!$AF:$AF,ReceivingData!$B2,PlayData!$AE:$AE, "&gt;=20",PlayData!$P:$P, "L")</f>
        <v>1</v>
      </c>
      <c r="AD2" s="1">
        <f>COUNTIFS(PlayData!$O:$O, "Pass Attempt",PlayData!$AF:$AF,ReceivingData!$B2,PlayData!$AE:$AE, "&gt;=20",PlayData!$P:$P, "M")</f>
        <v>0</v>
      </c>
      <c r="AE2" s="1">
        <f>COUNTIFS(PlayData!$O:$O, "Pass Attempt",PlayData!$AF:$AF,ReceivingData!$B2,PlayData!$AE:$AE, "&gt;=20",PlayData!$P:$P, "R")</f>
        <v>1</v>
      </c>
      <c r="AF2" s="1">
        <f>COUNTIFS(PlayData!$O:$O, "Pass Attempt", PlayData!$AC:$AC, "Catch", PlayData!$AF:$AF, $B2,PlayData!$L:$L, "3")</f>
        <v>3</v>
      </c>
      <c r="AG2" s="1">
        <f>COUNTIFS(PlayData!$O:$O, "Pass Attempt",PlayData!$AF:$AF,ReceivingData!$B2,PlayData!$L:$L, "3")</f>
        <v>3</v>
      </c>
      <c r="AH2" s="1">
        <f>COUNTIFS(PlayData!$O:$O, "Pass Attempt", PlayData!$AG:$AG, "Y",PlayData!$AF:$AF, $B2)</f>
        <v>8</v>
      </c>
      <c r="AK2" s="1">
        <f>COUNTIFS(PlayData!$O:$O, "Pass Attempt",PlayData!$AF:$AF,ReceivingData!$B2,PlayData!$AE:$AE, "&lt;=0",PlayData!$AC:$AC, "Catch")</f>
        <v>0</v>
      </c>
      <c r="AL2" s="1">
        <f>COUNTIFS(PlayData!$O:$O, "Pass Attempt",PlayData!$AF:$AF,ReceivingData!$B2,PlayData!$AE:$AE, "&gt;0",PlayData!$AE:$AE, "&lt;10",PlayData!$AC:$AC, "Catch")</f>
        <v>6</v>
      </c>
      <c r="AM2" s="1">
        <f>COUNTIFS(PlayData!$O:$O, "Pass Attempt",PlayData!$AF:$AF,ReceivingData!$B2,PlayData!$AE:$AE, "&gt;=10",PlayData!$AE:$AE, "&lt;20",PlayData!$AC:$AC, "Catch")</f>
        <v>4</v>
      </c>
      <c r="AN2" s="1">
        <f>COUNTIFS(PlayData!$O:$O, "Pass Attempt",PlayData!$AF:$AF,ReceivingData!$B2,PlayData!$AE:$AE, "&gt;=20",PlayData!$AC:$AC, "Catch")</f>
        <v>1</v>
      </c>
      <c r="AO2" s="1">
        <f>COUNTIFS(PlayData!$O:$O, "Pass Attempt",PlayData!$AF:$AF,ReceivingData!$B2,PlayData!$AE:$AE, "&lt;=0", PlayData!$P:$P, "L",PlayData!$AC:$AC, "Catch")</f>
        <v>0</v>
      </c>
      <c r="AP2" s="1">
        <f>COUNTIFS(PlayData!$O:$O, "Pass Attempt",PlayData!$AF:$AF,ReceivingData!$B2,PlayData!$AE:$AE, "&lt;=0", PlayData!$P:$P, "M",PlayData!$AC:$AC, "Catch")</f>
        <v>0</v>
      </c>
      <c r="AQ2" s="1">
        <f>COUNTIFS(PlayData!$O:$O, "Pass Attempt",PlayData!$AF:$AF,ReceivingData!$B2,PlayData!$AE:$AE, "&lt;=0", PlayData!$P:$P, "R",PlayData!$AC:$AC, "Catch")</f>
        <v>0</v>
      </c>
      <c r="AR2" s="1">
        <f>COUNTIFS(PlayData!$O:$O, "Pass Attempt",PlayData!$AF:$AF,ReceivingData!$B2,PlayData!$AE:$AE, "&gt;0",PlayData!$AE:$AE, "&lt;10",PlayData!$P:$P, "L",PlayData!$AC:$AC, "Catch")</f>
        <v>3</v>
      </c>
      <c r="AS2" s="1">
        <f>COUNTIFS(PlayData!$O:$O, "Pass Attempt",PlayData!$AF:$AF,ReceivingData!$B2,PlayData!$AE:$AE, "&gt;0",PlayData!$AE:$AE, "&lt;10",PlayData!$P:$P, "M",PlayData!$AC:$AC, "Catch")</f>
        <v>0</v>
      </c>
      <c r="AT2" s="1">
        <f>COUNTIFS(PlayData!$O:$O, "Pass Attempt",PlayData!$AF:$AF,ReceivingData!$B2,PlayData!$AE:$AE, "&gt;0",PlayData!$AE:$AE, "&lt;10",PlayData!$P:$P, "R",PlayData!$AC:$AC, "Catch")</f>
        <v>3</v>
      </c>
      <c r="AU2" s="1">
        <f>COUNTIFS(PlayData!$O:$O, "Pass Attempt",PlayData!$AF:$AF,ReceivingData!$B2,PlayData!$AE:$AE, "&gt;=10",PlayData!$AE:$AE, "&lt;20",PlayData!$P:$P, "L",PlayData!$AC:$AC, "Catch")</f>
        <v>1</v>
      </c>
      <c r="AV2" s="1">
        <f>COUNTIFS(PlayData!$O:$O, "Pass Attempt",PlayData!$AF:$AF,ReceivingData!$B2,PlayData!$AE:$AE, "&gt;=10",PlayData!$AE:$AE, "&lt;20",PlayData!$P:$P, "M",PlayData!$AC:$AC, "Catch")</f>
        <v>1</v>
      </c>
      <c r="AW2" s="1">
        <f>COUNTIFS(PlayData!$O:$O, "Pass Attempt",PlayData!$AF:$AF,ReceivingData!$B2,PlayData!$AE:$AE, "&gt;=10",PlayData!$AE:$AE, "&lt;20",PlayData!$P:$P, "R",PlayData!$AC:$AC, "Catch")</f>
        <v>2</v>
      </c>
      <c r="AX2" s="1">
        <f>COUNTIFS(PlayData!$O:$O, "Pass Attempt",PlayData!$AF:$AF,ReceivingData!$B2,PlayData!$AE:$AE, "&gt;=20",PlayData!$P:$P, "L",PlayData!$AC:$AC, "Catch")</f>
        <v>1</v>
      </c>
      <c r="AY2" s="1">
        <f>COUNTIFS(PlayData!$O:$O, "Pass Attempt",PlayData!$AF:$AF,ReceivingData!$B2,PlayData!$AE:$AE, "&gt;=20",PlayData!$P:$P, "M",PlayData!$AC:$AC, "Catch")</f>
        <v>0</v>
      </c>
      <c r="AZ2" s="1">
        <f>COUNTIFS(PlayData!$O:$O, "Pass Attempt",PlayData!$AF:$AF,ReceivingData!$B2,PlayData!$AE:$AE, "&gt;=20",PlayData!$P:$P, "R",PlayData!$AC:$AC, "Catch")</f>
        <v>0</v>
      </c>
    </row>
    <row r="3" spans="1:52" x14ac:dyDescent="0.5">
      <c r="A3" t="s">
        <v>191</v>
      </c>
      <c r="B3" s="1">
        <v>82</v>
      </c>
      <c r="C3" s="1">
        <f>COUNTIFS(PlayData!$O:$O, "Pass Attempt",PlayData!$AF:$AF,ReceivingData!$B3)</f>
        <v>7</v>
      </c>
      <c r="D3" s="1">
        <f>COUNTIFS(PlayData!$O:$O, "Pass Attempt", PlayData!$AC:$AC, "Catch", PlayData!$AF:$AF, $B3)</f>
        <v>5</v>
      </c>
      <c r="E3" s="1">
        <f>COUNTIFS(PlayData!$O:$O, "Pass Attempt", PlayData!$AC:$AC, "Drop", PlayData!$AF:$AF, $B3)</f>
        <v>0</v>
      </c>
      <c r="F3" s="1">
        <f>SUMIFS(PlayData!$AA:$AA, PlayData!$O:$O, "Pass Attempt", PlayData!$AC:$AC, "Catch", PlayData!$AF:$AF,ReceivingData!$B3)</f>
        <v>43</v>
      </c>
      <c r="G3" s="1">
        <f>SUMIFS(PlayData!$AE:$AE, PlayData!$O:$O,"Pass Attempt", PlayData!$AF:$AF,$B3)</f>
        <v>70</v>
      </c>
      <c r="H3" s="1">
        <f>SUMIFS(PlayData!$AE:$AE, PlayData!$O:$O,"Pass Attempt", PlayData!$AF:$AF,$B3, PlayData!$AC:$AC, "Catch")</f>
        <v>42</v>
      </c>
      <c r="I3" s="4">
        <f>$G3/$C3</f>
        <v>10</v>
      </c>
      <c r="J3" s="4">
        <f>$H3/$D3</f>
        <v>8.4</v>
      </c>
      <c r="K3" s="1">
        <f>SUMIFS(PlayData!$AH:$AH, PlayData!$O:$O, "Pass Attempt", PlayData!$AF:$AF, $B3)</f>
        <v>1</v>
      </c>
      <c r="L3" s="1">
        <f>$K3/$D3</f>
        <v>0.2</v>
      </c>
      <c r="M3" s="1">
        <f>COUNTIFS(PlayData!$O:$O, "Pass Attempt", PlayData!$AF:$AF, $B3, PlayData!$AB:$AB, "TD")</f>
        <v>1</v>
      </c>
      <c r="N3" s="1">
        <f>COUNTIFS(PlayData!$O:$O, "Pass Attempt", PlayData!$AF:$AF, $B3, PlayData!$AB:$AB, "Fumble")</f>
        <v>0</v>
      </c>
      <c r="O3" s="1"/>
      <c r="P3" s="1">
        <f>COUNTIFS(PlayData!$O:$O, "Pass Attempt",PlayData!$AF:$AF,ReceivingData!$B3,PlayData!$AE:$AE, "&lt;=0")</f>
        <v>0</v>
      </c>
      <c r="Q3" s="1">
        <f>COUNTIFS(PlayData!$O:$O, "Pass Attempt",PlayData!$AF:$AF,ReceivingData!$B3,PlayData!$AE:$AE, "&gt;0",PlayData!$AE:$AE, "&lt;=9" )</f>
        <v>3</v>
      </c>
      <c r="R3" s="1">
        <f>COUNTIFS(PlayData!$O:$O, "Pass Attempt",PlayData!$AF:$AF,ReceivingData!$B3,PlayData!$AE:$AE, "&gt;=10",PlayData!$AE:$AE, "&lt;20" )</f>
        <v>4</v>
      </c>
      <c r="S3" s="1">
        <f>COUNTIFS(PlayData!$O:$O, "Pass Attempt",PlayData!$AF:$AF,ReceivingData!$B3,PlayData!$AE:$AE, "&gt;=20")</f>
        <v>0</v>
      </c>
      <c r="T3" s="1">
        <f>COUNTIFS(PlayData!$O:$O, "Pass Attempt",PlayData!$AF:$AF,ReceivingData!$B3,PlayData!$AE:$AE, "&lt;=0", PlayData!$P:$P, "L")</f>
        <v>0</v>
      </c>
      <c r="U3" s="1">
        <f>COUNTIFS(PlayData!$O:$O, "Pass Attempt",PlayData!$AF:$AF,ReceivingData!$B3,PlayData!$AE:$AE, "&lt;=0", PlayData!$P:$P, "M")</f>
        <v>0</v>
      </c>
      <c r="V3" s="1">
        <f>COUNTIFS(PlayData!$O:$O, "Pass Attempt",PlayData!$AF:$AF,ReceivingData!$B3,PlayData!$AE:$AE, "&lt;=0", PlayData!$P:$P, "R")</f>
        <v>0</v>
      </c>
      <c r="W3" s="1">
        <f>COUNTIFS(PlayData!$O:$O, "Pass Attempt",PlayData!$AF:$AF,ReceivingData!$B3,PlayData!$AE:$AE, "&gt;0",PlayData!$AE:$AE, "&lt;10",PlayData!$P:$P, "L")</f>
        <v>0</v>
      </c>
      <c r="X3" s="1">
        <f>COUNTIFS(PlayData!$O:$O, "Pass Attempt",PlayData!$AF:$AF,ReceivingData!$B3,PlayData!$AE:$AE, "&gt;0",PlayData!$AE:$AE, "&lt;10",PlayData!$P:$P, "M")</f>
        <v>2</v>
      </c>
      <c r="Y3" s="1">
        <f>COUNTIFS(PlayData!$O:$O, "Pass Attempt",PlayData!$AF:$AF,ReceivingData!$B3,PlayData!$AE:$AE, "&gt;0",PlayData!$AE:$AE, "&lt;10",PlayData!$P:$P, "R")</f>
        <v>1</v>
      </c>
      <c r="Z3" s="1">
        <f>COUNTIFS(PlayData!$O:$O, "Pass Attempt",PlayData!$AF:$AF,ReceivingData!$B3,PlayData!$AE:$AE, "&gt;=10",PlayData!$AE:$AE, "&lt;20",PlayData!$P:$P, "L")</f>
        <v>1</v>
      </c>
      <c r="AA3" s="1">
        <f>COUNTIFS(PlayData!$O:$O, "Pass Attempt",PlayData!$AF:$AF,ReceivingData!$B3,PlayData!$AE:$AE, "&gt;=10",PlayData!$AE:$AE, "&lt;20",PlayData!$P:$P, "M")</f>
        <v>1</v>
      </c>
      <c r="AB3" s="1">
        <f>COUNTIFS(PlayData!$O:$O, "Pass Attempt",PlayData!$AF:$AF,ReceivingData!$B3,PlayData!$AE:$AE, "&gt;=10",PlayData!$AE:$AE, "&lt;20",PlayData!$P:$P, "R")</f>
        <v>2</v>
      </c>
      <c r="AC3" s="1">
        <f>COUNTIFS(PlayData!$O:$O, "Pass Attempt",PlayData!$AF:$AF,ReceivingData!$B3,PlayData!$AE:$AE, "&gt;=20",PlayData!$P:$P, "L")</f>
        <v>0</v>
      </c>
      <c r="AD3" s="1">
        <f>COUNTIFS(PlayData!$O:$O, "Pass Attempt",PlayData!$AF:$AF,ReceivingData!$B3,PlayData!$AE:$AE, "&gt;=20",PlayData!$P:$P, "M")</f>
        <v>0</v>
      </c>
      <c r="AE3" s="1">
        <f>COUNTIFS(PlayData!$O:$O, "Pass Attempt",PlayData!$AF:$AF,ReceivingData!$B3,PlayData!$AE:$AE, "&gt;=20",PlayData!$P:$P, "R")</f>
        <v>0</v>
      </c>
      <c r="AF3" s="1">
        <f>COUNTIFS(PlayData!$O:$O, "Pass Attempt", PlayData!$AC:$AC, "Catch", PlayData!$AF:$AF, $B3,PlayData!$L:$L, "3")</f>
        <v>1</v>
      </c>
      <c r="AG3" s="1">
        <f>COUNTIFS(PlayData!$O:$O, "Pass Attempt",PlayData!$AF:$AF,ReceivingData!$B3,PlayData!$L:$L, "3")</f>
        <v>2</v>
      </c>
      <c r="AH3" s="1">
        <f>COUNTIFS(PlayData!$O:$O, "Pass Attempt", PlayData!$AG:$AG, "Y",PlayData!$AF:$AF, $B3)</f>
        <v>3</v>
      </c>
      <c r="AK3" s="1">
        <f>COUNTIFS(PlayData!$O:$O, "Pass Attempt",PlayData!$AF:$AF,ReceivingData!$B3,PlayData!$AE:$AE, "&lt;=0",PlayData!$AC:$AC, "Catch")</f>
        <v>0</v>
      </c>
      <c r="AL3" s="1">
        <f>COUNTIFS(PlayData!$O:$O, "Pass Attempt",PlayData!$AF:$AF,ReceivingData!$B3,PlayData!$AE:$AE, "&gt;0",PlayData!$AE:$AE, "&lt;10",PlayData!$AC:$AC, "Catch")</f>
        <v>3</v>
      </c>
      <c r="AM3" s="1">
        <f>COUNTIFS(PlayData!$O:$O, "Pass Attempt",PlayData!$AF:$AF,ReceivingData!$B3,PlayData!$AE:$AE, "&gt;=10",PlayData!$AE:$AE, "&lt;20",PlayData!$AC:$AC, "Catch")</f>
        <v>2</v>
      </c>
      <c r="AN3" s="1">
        <f>COUNTIFS(PlayData!$O:$O, "Pass Attempt",PlayData!$AF:$AF,ReceivingData!$B3,PlayData!$AE:$AE, "&gt;=20",PlayData!$AC:$AC, "Catch")</f>
        <v>0</v>
      </c>
      <c r="AO3" s="1">
        <f>COUNTIFS(PlayData!$O:$O, "Pass Attempt",PlayData!$AF:$AF,ReceivingData!$B3,PlayData!$AE:$AE, "&lt;=0", PlayData!$P:$P, "L",PlayData!$AC:$AC, "Catch")</f>
        <v>0</v>
      </c>
      <c r="AP3" s="1">
        <f>COUNTIFS(PlayData!$O:$O, "Pass Attempt",PlayData!$AF:$AF,ReceivingData!$B3,PlayData!$AE:$AE, "&lt;=0", PlayData!$P:$P, "M",PlayData!$AC:$AC, "Catch")</f>
        <v>0</v>
      </c>
      <c r="AQ3" s="1">
        <f>COUNTIFS(PlayData!$O:$O, "Pass Attempt",PlayData!$AF:$AF,ReceivingData!$B3,PlayData!$AE:$AE, "&lt;=0", PlayData!$P:$P, "R",PlayData!$AC:$AC, "Catch")</f>
        <v>0</v>
      </c>
      <c r="AR3" s="1">
        <f>COUNTIFS(PlayData!$O:$O, "Pass Attempt",PlayData!$AF:$AF,ReceivingData!$B3,PlayData!$AE:$AE, "&gt;0",PlayData!$AE:$AE, "&lt;10",PlayData!$P:$P, "L",PlayData!$AC:$AC, "Catch")</f>
        <v>0</v>
      </c>
      <c r="AS3" s="1">
        <f>COUNTIFS(PlayData!$O:$O, "Pass Attempt",PlayData!$AF:$AF,ReceivingData!$B3,PlayData!$AE:$AE, "&gt;0",PlayData!$AE:$AE, "&lt;10",PlayData!$P:$P, "M",PlayData!$AC:$AC, "Catch")</f>
        <v>2</v>
      </c>
      <c r="AT3" s="1">
        <f>COUNTIFS(PlayData!$O:$O, "Pass Attempt",PlayData!$AF:$AF,ReceivingData!$B3,PlayData!$AE:$AE, "&gt;0",PlayData!$AE:$AE, "&lt;10",PlayData!$P:$P, "R",PlayData!$AC:$AC, "Catch")</f>
        <v>1</v>
      </c>
      <c r="AU3" s="1">
        <f>COUNTIFS(PlayData!$O:$O, "Pass Attempt",PlayData!$AF:$AF,ReceivingData!$B3,PlayData!$AE:$AE, "&gt;=10",PlayData!$AE:$AE, "&lt;20",PlayData!$P:$P, "L",PlayData!$AC:$AC, "Catch")</f>
        <v>1</v>
      </c>
      <c r="AV3" s="1">
        <f>COUNTIFS(PlayData!$O:$O, "Pass Attempt",PlayData!$AF:$AF,ReceivingData!$B3,PlayData!$AE:$AE, "&gt;=10",PlayData!$AE:$AE, "&lt;20",PlayData!$P:$P, "M",PlayData!$AC:$AC, "Catch")</f>
        <v>0</v>
      </c>
      <c r="AW3" s="1">
        <f>COUNTIFS(PlayData!$O:$O, "Pass Attempt",PlayData!$AF:$AF,ReceivingData!$B3,PlayData!$AE:$AE, "&gt;=10",PlayData!$AE:$AE, "&lt;20",PlayData!$P:$P, "R",PlayData!$AC:$AC, "Catch")</f>
        <v>1</v>
      </c>
      <c r="AX3" s="1">
        <f>COUNTIFS(PlayData!$O:$O, "Pass Attempt",PlayData!$AF:$AF,ReceivingData!$B3,PlayData!$AE:$AE, "&gt;=20",PlayData!$P:$P, "L",PlayData!$AC:$AC, "Catch")</f>
        <v>0</v>
      </c>
      <c r="AY3" s="1">
        <f>COUNTIFS(PlayData!$O:$O, "Pass Attempt",PlayData!$AF:$AF,ReceivingData!$B3,PlayData!$AE:$AE, "&gt;=20",PlayData!$P:$P, "M",PlayData!$AC:$AC, "Catch")</f>
        <v>0</v>
      </c>
      <c r="AZ3" s="1">
        <f>COUNTIFS(PlayData!$O:$O, "Pass Attempt",PlayData!$AF:$AF,ReceivingData!$B3,PlayData!$AE:$AE, "&gt;=20",PlayData!$P:$P, "R",PlayData!$AC:$AC, "Catch")</f>
        <v>0</v>
      </c>
    </row>
    <row r="4" spans="1:52" x14ac:dyDescent="0.5">
      <c r="A4" t="s">
        <v>172</v>
      </c>
      <c r="B4" s="1">
        <v>84</v>
      </c>
      <c r="C4" s="1">
        <f>COUNTIFS(PlayData!$O:$O, "Pass Attempt",PlayData!$AF:$AF,ReceivingData!$B4)</f>
        <v>6</v>
      </c>
      <c r="D4" s="1">
        <f>COUNTIFS(PlayData!$O:$O, "Pass Attempt", PlayData!$AC:$AC, "Catch", PlayData!$AF:$AF, $B4)</f>
        <v>3</v>
      </c>
      <c r="E4" s="1">
        <f>COUNTIFS(PlayData!$O:$O, "Pass Attempt", PlayData!$AC:$AC, "Drop", PlayData!$AF:$AF, $B4)</f>
        <v>0</v>
      </c>
      <c r="F4" s="1">
        <f>SUMIFS(PlayData!$AA:$AA, PlayData!$O:$O, "Pass Attempt", PlayData!$AC:$AC, "Catch", PlayData!$AF:$AF,ReceivingData!$B4)</f>
        <v>11</v>
      </c>
      <c r="G4" s="1">
        <f>SUMIFS(PlayData!$AE:$AE, PlayData!$O:$O,"Pass Attempt", PlayData!$AF:$AF,$B4)</f>
        <v>36</v>
      </c>
      <c r="H4" s="1">
        <f>SUMIFS(PlayData!$AE:$AE, PlayData!$O:$O,"Pass Attempt", PlayData!$AF:$AF,$B4, PlayData!$AC:$AC, "Catch")</f>
        <v>7</v>
      </c>
      <c r="I4" s="4">
        <f>$G4/$C4</f>
        <v>6</v>
      </c>
      <c r="J4" s="4">
        <f>$H4/$D4</f>
        <v>2.3333333333333335</v>
      </c>
      <c r="K4" s="1">
        <f>SUMIFS(PlayData!$AH:$AH, PlayData!$O:$O, "Pass Attempt", PlayData!$AF:$AF, $B4)</f>
        <v>4</v>
      </c>
      <c r="L4" s="1">
        <f>$K4/$D4</f>
        <v>1.3333333333333333</v>
      </c>
      <c r="M4" s="1">
        <f>COUNTIFS(PlayData!$O:$O, "Pass Attempt", PlayData!$AF:$AF, $B4, PlayData!$AB:$AB, "TD")</f>
        <v>0</v>
      </c>
      <c r="N4" s="1">
        <f>COUNTIFS(PlayData!$O:$O, "Pass Attempt", PlayData!$AF:$AF, $B4, PlayData!$AB:$AB, "Fumble")</f>
        <v>0</v>
      </c>
      <c r="O4" s="1"/>
      <c r="P4" s="1">
        <f>COUNTIFS(PlayData!$O:$O, "Pass Attempt",PlayData!$AF:$AF,ReceivingData!$B4,PlayData!$AE:$AE, "&lt;=0")</f>
        <v>1</v>
      </c>
      <c r="Q4" s="1">
        <f>COUNTIFS(PlayData!$O:$O, "Pass Attempt",PlayData!$AF:$AF,ReceivingData!$B4,PlayData!$AE:$AE, "&gt;0",PlayData!$AE:$AE, "&lt;=9" )</f>
        <v>3</v>
      </c>
      <c r="R4" s="1">
        <f>COUNTIFS(PlayData!$O:$O, "Pass Attempt",PlayData!$AF:$AF,ReceivingData!$B4,PlayData!$AE:$AE, "&gt;=10",PlayData!$AE:$AE, "&lt;20" )</f>
        <v>2</v>
      </c>
      <c r="S4" s="1">
        <f>COUNTIFS(PlayData!$O:$O, "Pass Attempt",PlayData!$AF:$AF,ReceivingData!$B4,PlayData!$AE:$AE, "&gt;=20")</f>
        <v>0</v>
      </c>
      <c r="T4" s="1">
        <f>COUNTIFS(PlayData!$O:$O, "Pass Attempt",PlayData!$AF:$AF,ReceivingData!$B4,PlayData!$AE:$AE, "&lt;=0", PlayData!$P:$P, "L")</f>
        <v>0</v>
      </c>
      <c r="U4" s="1">
        <f>COUNTIFS(PlayData!$O:$O, "Pass Attempt",PlayData!$AF:$AF,ReceivingData!$B4,PlayData!$AE:$AE, "&lt;=0", PlayData!$P:$P, "M")</f>
        <v>0</v>
      </c>
      <c r="V4" s="1">
        <f>COUNTIFS(PlayData!$O:$O, "Pass Attempt",PlayData!$AF:$AF,ReceivingData!$B4,PlayData!$AE:$AE, "&lt;=0", PlayData!$P:$P, "R")</f>
        <v>1</v>
      </c>
      <c r="W4" s="1">
        <f>COUNTIFS(PlayData!$O:$O, "Pass Attempt",PlayData!$AF:$AF,ReceivingData!$B4,PlayData!$AE:$AE, "&gt;0",PlayData!$AE:$AE, "&lt;10",PlayData!$P:$P, "L")</f>
        <v>1</v>
      </c>
      <c r="X4" s="1">
        <f>COUNTIFS(PlayData!$O:$O, "Pass Attempt",PlayData!$AF:$AF,ReceivingData!$B4,PlayData!$AE:$AE, "&gt;0",PlayData!$AE:$AE, "&lt;10",PlayData!$P:$P, "M")</f>
        <v>1</v>
      </c>
      <c r="Y4" s="1">
        <f>COUNTIFS(PlayData!$O:$O, "Pass Attempt",PlayData!$AF:$AF,ReceivingData!$B4,PlayData!$AE:$AE, "&gt;0",PlayData!$AE:$AE, "&lt;10",PlayData!$P:$P, "R")</f>
        <v>1</v>
      </c>
      <c r="Z4" s="1">
        <f>COUNTIFS(PlayData!$O:$O, "Pass Attempt",PlayData!$AF:$AF,ReceivingData!$B4,PlayData!$AE:$AE, "&gt;=10",PlayData!$AE:$AE, "&lt;20",PlayData!$P:$P, "L")</f>
        <v>0</v>
      </c>
      <c r="AA4" s="1">
        <f>COUNTIFS(PlayData!$O:$O, "Pass Attempt",PlayData!$AF:$AF,ReceivingData!$B4,PlayData!$AE:$AE, "&gt;=10",PlayData!$AE:$AE, "&lt;20",PlayData!$P:$P, "M")</f>
        <v>0</v>
      </c>
      <c r="AB4" s="1">
        <f>COUNTIFS(PlayData!$O:$O, "Pass Attempt",PlayData!$AF:$AF,ReceivingData!$B4,PlayData!$AE:$AE, "&gt;=10",PlayData!$AE:$AE, "&lt;20",PlayData!$P:$P, "R")</f>
        <v>2</v>
      </c>
      <c r="AC4" s="1">
        <f>COUNTIFS(PlayData!$O:$O, "Pass Attempt",PlayData!$AF:$AF,ReceivingData!$B4,PlayData!$AE:$AE, "&gt;=20",PlayData!$P:$P, "L")</f>
        <v>0</v>
      </c>
      <c r="AD4" s="1">
        <f>COUNTIFS(PlayData!$O:$O, "Pass Attempt",PlayData!$AF:$AF,ReceivingData!$B4,PlayData!$AE:$AE, "&gt;=20",PlayData!$P:$P, "M")</f>
        <v>0</v>
      </c>
      <c r="AE4" s="1">
        <f>COUNTIFS(PlayData!$O:$O, "Pass Attempt",PlayData!$AF:$AF,ReceivingData!$B4,PlayData!$AE:$AE, "&gt;=20",PlayData!$P:$P, "R")</f>
        <v>0</v>
      </c>
      <c r="AF4" s="1">
        <f>COUNTIFS(PlayData!$O:$O, "Pass Attempt", PlayData!$AC:$AC, "Catch", PlayData!$AF:$AF, $B4,PlayData!$L:$L, "3")</f>
        <v>1</v>
      </c>
      <c r="AG4" s="1">
        <f>COUNTIFS(PlayData!$O:$O, "Pass Attempt",PlayData!$AF:$AF,ReceivingData!$B4,PlayData!$L:$L, "3")</f>
        <v>1</v>
      </c>
      <c r="AH4" s="1">
        <f>COUNTIFS(PlayData!$O:$O, "Pass Attempt", PlayData!$AG:$AG, "Y",PlayData!$AF:$AF, $B4)</f>
        <v>1</v>
      </c>
      <c r="AK4" s="1">
        <f>COUNTIFS(PlayData!$O:$O, "Pass Attempt",PlayData!$AF:$AF,ReceivingData!$B4,PlayData!$AE:$AE, "&lt;=0",PlayData!$AC:$AC, "Catch")</f>
        <v>1</v>
      </c>
      <c r="AL4" s="1">
        <f>COUNTIFS(PlayData!$O:$O, "Pass Attempt",PlayData!$AF:$AF,ReceivingData!$B4,PlayData!$AE:$AE, "&gt;0",PlayData!$AE:$AE, "&lt;10",PlayData!$AC:$AC, "Catch")</f>
        <v>2</v>
      </c>
      <c r="AM4" s="1">
        <f>COUNTIFS(PlayData!$O:$O, "Pass Attempt",PlayData!$AF:$AF,ReceivingData!$B4,PlayData!$AE:$AE, "&gt;=10",PlayData!$AE:$AE, "&lt;20",PlayData!$AC:$AC, "Catch")</f>
        <v>0</v>
      </c>
      <c r="AN4" s="1">
        <f>COUNTIFS(PlayData!$O:$O, "Pass Attempt",PlayData!$AF:$AF,ReceivingData!$B4,PlayData!$AE:$AE, "&gt;=20",PlayData!$AC:$AC, "Catch")</f>
        <v>0</v>
      </c>
      <c r="AO4" s="1">
        <f>COUNTIFS(PlayData!$O:$O, "Pass Attempt",PlayData!$AF:$AF,ReceivingData!$B4,PlayData!$AE:$AE, "&lt;=0", PlayData!$P:$P, "L",PlayData!$AC:$AC, "Catch")</f>
        <v>0</v>
      </c>
      <c r="AP4" s="1">
        <f>COUNTIFS(PlayData!$O:$O, "Pass Attempt",PlayData!$AF:$AF,ReceivingData!$B4,PlayData!$AE:$AE, "&lt;=0", PlayData!$P:$P, "M",PlayData!$AC:$AC, "Catch")</f>
        <v>0</v>
      </c>
      <c r="AQ4" s="1">
        <f>COUNTIFS(PlayData!$O:$O, "Pass Attempt",PlayData!$AF:$AF,ReceivingData!$B4,PlayData!$AE:$AE, "&lt;=0", PlayData!$P:$P, "R",PlayData!$AC:$AC, "Catch")</f>
        <v>1</v>
      </c>
      <c r="AR4" s="1">
        <f>COUNTIFS(PlayData!$O:$O, "Pass Attempt",PlayData!$AF:$AF,ReceivingData!$B4,PlayData!$AE:$AE, "&gt;0",PlayData!$AE:$AE, "&lt;10",PlayData!$P:$P, "L",PlayData!$AC:$AC, "Catch")</f>
        <v>0</v>
      </c>
      <c r="AS4" s="1">
        <f>COUNTIFS(PlayData!$O:$O, "Pass Attempt",PlayData!$AF:$AF,ReceivingData!$B4,PlayData!$AE:$AE, "&gt;0",PlayData!$AE:$AE, "&lt;10",PlayData!$P:$P, "M",PlayData!$AC:$AC, "Catch")</f>
        <v>1</v>
      </c>
      <c r="AT4" s="1">
        <f>COUNTIFS(PlayData!$O:$O, "Pass Attempt",PlayData!$AF:$AF,ReceivingData!$B4,PlayData!$AE:$AE, "&gt;0",PlayData!$AE:$AE, "&lt;10",PlayData!$P:$P, "R",PlayData!$AC:$AC, "Catch")</f>
        <v>1</v>
      </c>
      <c r="AU4" s="1">
        <f>COUNTIFS(PlayData!$O:$O, "Pass Attempt",PlayData!$AF:$AF,ReceivingData!$B4,PlayData!$AE:$AE, "&gt;=10",PlayData!$AE:$AE, "&lt;20",PlayData!$P:$P, "L",PlayData!$AC:$AC, "Catch")</f>
        <v>0</v>
      </c>
      <c r="AV4" s="1">
        <f>COUNTIFS(PlayData!$O:$O, "Pass Attempt",PlayData!$AF:$AF,ReceivingData!$B4,PlayData!$AE:$AE, "&gt;=10",PlayData!$AE:$AE, "&lt;20",PlayData!$P:$P, "M",PlayData!$AC:$AC, "Catch")</f>
        <v>0</v>
      </c>
      <c r="AW4" s="1">
        <f>COUNTIFS(PlayData!$O:$O, "Pass Attempt",PlayData!$AF:$AF,ReceivingData!$B4,PlayData!$AE:$AE, "&gt;=10",PlayData!$AE:$AE, "&lt;20",PlayData!$P:$P, "R",PlayData!$AC:$AC, "Catch")</f>
        <v>0</v>
      </c>
      <c r="AX4" s="1">
        <f>COUNTIFS(PlayData!$O:$O, "Pass Attempt",PlayData!$AF:$AF,ReceivingData!$B4,PlayData!$AE:$AE, "&gt;=20",PlayData!$P:$P, "L",PlayData!$AC:$AC, "Catch")</f>
        <v>0</v>
      </c>
      <c r="AY4" s="1">
        <f>COUNTIFS(PlayData!$O:$O, "Pass Attempt",PlayData!$AF:$AF,ReceivingData!$B4,PlayData!$AE:$AE, "&gt;=20",PlayData!$P:$P, "M",PlayData!$AC:$AC, "Catch")</f>
        <v>0</v>
      </c>
      <c r="AZ4" s="1">
        <f>COUNTIFS(PlayData!$O:$O, "Pass Attempt",PlayData!$AF:$AF,ReceivingData!$B4,PlayData!$AE:$AE, "&gt;=20",PlayData!$P:$P, "R",PlayData!$AC:$AC, "Catch")</f>
        <v>0</v>
      </c>
    </row>
    <row r="5" spans="1:52" x14ac:dyDescent="0.5">
      <c r="A5" t="s">
        <v>171</v>
      </c>
      <c r="B5" s="1">
        <v>14</v>
      </c>
      <c r="C5" s="1">
        <f>COUNTIFS(PlayData!$O:$O, "Pass Attempt",PlayData!$AF:$AF,ReceivingData!$B5)</f>
        <v>23</v>
      </c>
      <c r="D5" s="1">
        <f>COUNTIFS(PlayData!$O:$O, "Pass Attempt", PlayData!$AC:$AC, "Catch", PlayData!$AF:$AF, $B5)</f>
        <v>17</v>
      </c>
      <c r="E5" s="1">
        <f>COUNTIFS(PlayData!$O:$O, "Pass Attempt", PlayData!$AC:$AC, "Drop", PlayData!$AF:$AF, $B5)</f>
        <v>3</v>
      </c>
      <c r="F5" s="1">
        <f>SUMIFS(PlayData!$AA:$AA, PlayData!$O:$O, "Pass Attempt", PlayData!$AC:$AC, "Catch", PlayData!$AF:$AF,ReceivingData!$B5)</f>
        <v>194</v>
      </c>
      <c r="G5" s="1">
        <f>SUMIFS(PlayData!$AE:$AE, PlayData!$O:$O,"Pass Attempt", PlayData!$AF:$AF,$B5)</f>
        <v>204</v>
      </c>
      <c r="H5" s="1">
        <f>SUMIFS(PlayData!$AE:$AE, PlayData!$O:$O,"Pass Attempt", PlayData!$AF:$AF,$B5, PlayData!$AC:$AC, "Catch")</f>
        <v>139</v>
      </c>
      <c r="I5" s="4">
        <f>$G5/$C5</f>
        <v>8.8695652173913047</v>
      </c>
      <c r="J5" s="4">
        <f>$H5/$D5</f>
        <v>8.1764705882352935</v>
      </c>
      <c r="K5" s="1">
        <f>SUMIFS(PlayData!$AH:$AH, PlayData!$O:$O, "Pass Attempt", PlayData!$AF:$AF, $B5)</f>
        <v>55</v>
      </c>
      <c r="L5" s="1">
        <f>$K5/$D5</f>
        <v>3.2352941176470589</v>
      </c>
      <c r="M5" s="1">
        <f>COUNTIFS(PlayData!$O:$O, "Pass Attempt", PlayData!$AF:$AF, $B5, PlayData!$AB:$AB, "TD")</f>
        <v>2</v>
      </c>
      <c r="N5" s="1">
        <f>COUNTIFS(PlayData!$O:$O, "Pass Attempt", PlayData!$AF:$AF, $B5, PlayData!$AB:$AB, "Fumble")</f>
        <v>0</v>
      </c>
      <c r="O5" s="1"/>
      <c r="P5" s="1">
        <f>COUNTIFS(PlayData!$O:$O, "Pass Attempt",PlayData!$AF:$AF,ReceivingData!$B5,PlayData!$AE:$AE, "&lt;=0")</f>
        <v>1</v>
      </c>
      <c r="Q5" s="1">
        <f>COUNTIFS(PlayData!$O:$O, "Pass Attempt",PlayData!$AF:$AF,ReceivingData!$B5,PlayData!$AE:$AE, "&gt;0",PlayData!$AE:$AE, "&lt;=9" )</f>
        <v>18</v>
      </c>
      <c r="R5" s="1">
        <f>COUNTIFS(PlayData!$O:$O, "Pass Attempt",PlayData!$AF:$AF,ReceivingData!$B5,PlayData!$AE:$AE, "&gt;=10",PlayData!$AE:$AE, "&lt;20" )</f>
        <v>1</v>
      </c>
      <c r="S5" s="1">
        <f>COUNTIFS(PlayData!$O:$O, "Pass Attempt",PlayData!$AF:$AF,ReceivingData!$B5,PlayData!$AE:$AE, "&gt;=20")</f>
        <v>3</v>
      </c>
      <c r="T5" s="1">
        <f>COUNTIFS(PlayData!$O:$O, "Pass Attempt",PlayData!$AF:$AF,ReceivingData!$B5,PlayData!$AE:$AE, "&lt;=0", PlayData!$P:$P, "L")</f>
        <v>1</v>
      </c>
      <c r="U5" s="1">
        <f>COUNTIFS(PlayData!$O:$O, "Pass Attempt",PlayData!$AF:$AF,ReceivingData!$B5,PlayData!$AE:$AE, "&lt;=0", PlayData!$P:$P, "M")</f>
        <v>0</v>
      </c>
      <c r="V5" s="1">
        <f>COUNTIFS(PlayData!$O:$O, "Pass Attempt",PlayData!$AF:$AF,ReceivingData!$B5,PlayData!$AE:$AE, "&lt;=0", PlayData!$P:$P, "R")</f>
        <v>0</v>
      </c>
      <c r="W5" s="1">
        <f>COUNTIFS(PlayData!$O:$O, "Pass Attempt",PlayData!$AF:$AF,ReceivingData!$B5,PlayData!$AE:$AE, "&gt;0",PlayData!$AE:$AE, "&lt;10",PlayData!$P:$P, "L")</f>
        <v>6</v>
      </c>
      <c r="X5" s="1">
        <f>COUNTIFS(PlayData!$O:$O, "Pass Attempt",PlayData!$AF:$AF,ReceivingData!$B5,PlayData!$AE:$AE, "&gt;0",PlayData!$AE:$AE, "&lt;10",PlayData!$P:$P, "M")</f>
        <v>8</v>
      </c>
      <c r="Y5" s="1">
        <f>COUNTIFS(PlayData!$O:$O, "Pass Attempt",PlayData!$AF:$AF,ReceivingData!$B5,PlayData!$AE:$AE, "&gt;0",PlayData!$AE:$AE, "&lt;10",PlayData!$P:$P, "R")</f>
        <v>4</v>
      </c>
      <c r="Z5" s="1">
        <f>COUNTIFS(PlayData!$O:$O, "Pass Attempt",PlayData!$AF:$AF,ReceivingData!$B5,PlayData!$AE:$AE, "&gt;=10",PlayData!$AE:$AE, "&lt;20",PlayData!$P:$P, "L")</f>
        <v>0</v>
      </c>
      <c r="AA5" s="1">
        <f>COUNTIFS(PlayData!$O:$O, "Pass Attempt",PlayData!$AF:$AF,ReceivingData!$B5,PlayData!$AE:$AE, "&gt;=10",PlayData!$AE:$AE, "&lt;20",PlayData!$P:$P, "M")</f>
        <v>1</v>
      </c>
      <c r="AB5" s="1">
        <f>COUNTIFS(PlayData!$O:$O, "Pass Attempt",PlayData!$AF:$AF,ReceivingData!$B5,PlayData!$AE:$AE, "&gt;=10",PlayData!$AE:$AE, "&lt;20",PlayData!$P:$P, "R")</f>
        <v>0</v>
      </c>
      <c r="AC5" s="1">
        <f>COUNTIFS(PlayData!$O:$O, "Pass Attempt",PlayData!$AF:$AF,ReceivingData!$B5,PlayData!$AE:$AE, "&gt;=20",PlayData!$P:$P, "L")</f>
        <v>1</v>
      </c>
      <c r="AD5" s="1">
        <f>COUNTIFS(PlayData!$O:$O, "Pass Attempt",PlayData!$AF:$AF,ReceivingData!$B5,PlayData!$AE:$AE, "&gt;=20",PlayData!$P:$P, "M")</f>
        <v>0</v>
      </c>
      <c r="AE5" s="1">
        <f>COUNTIFS(PlayData!$O:$O, "Pass Attempt",PlayData!$AF:$AF,ReceivingData!$B5,PlayData!$AE:$AE, "&gt;=20",PlayData!$P:$P, "R")</f>
        <v>2</v>
      </c>
      <c r="AF5" s="1">
        <f>COUNTIFS(PlayData!$O:$O, "Pass Attempt", PlayData!$AC:$AC, "Catch", PlayData!$AF:$AF, $B5,PlayData!$L:$L, "3")</f>
        <v>3</v>
      </c>
      <c r="AG5" s="1">
        <f>COUNTIFS(PlayData!$O:$O, "Pass Attempt",PlayData!$AF:$AF,ReceivingData!$B5,PlayData!$L:$L, "3")</f>
        <v>4</v>
      </c>
      <c r="AH5" s="1">
        <f>COUNTIFS(PlayData!$O:$O, "Pass Attempt", PlayData!$AG:$AG, "Y",PlayData!$AF:$AF, $B5)</f>
        <v>9</v>
      </c>
      <c r="AK5" s="1">
        <f>COUNTIFS(PlayData!$O:$O, "Pass Attempt",PlayData!$AF:$AF,ReceivingData!$B5,PlayData!$AE:$AE, "&lt;=0",PlayData!$AC:$AC, "Catch")</f>
        <v>1</v>
      </c>
      <c r="AL5" s="1">
        <f>COUNTIFS(PlayData!$O:$O, "Pass Attempt",PlayData!$AF:$AF,ReceivingData!$B5,PlayData!$AE:$AE, "&gt;0",PlayData!$AE:$AE, "&lt;10",PlayData!$AC:$AC, "Catch")</f>
        <v>14</v>
      </c>
      <c r="AM5" s="1">
        <f>COUNTIFS(PlayData!$O:$O, "Pass Attempt",PlayData!$AF:$AF,ReceivingData!$B5,PlayData!$AE:$AE, "&gt;=10",PlayData!$AE:$AE, "&lt;20",PlayData!$AC:$AC, "Catch")</f>
        <v>0</v>
      </c>
      <c r="AN5" s="1">
        <f>COUNTIFS(PlayData!$O:$O, "Pass Attempt",PlayData!$AF:$AF,ReceivingData!$B5,PlayData!$AE:$AE, "&gt;=20",PlayData!$AC:$AC, "Catch")</f>
        <v>2</v>
      </c>
      <c r="AO5" s="1">
        <f>COUNTIFS(PlayData!$O:$O, "Pass Attempt",PlayData!$AF:$AF,ReceivingData!$B5,PlayData!$AE:$AE, "&lt;=0", PlayData!$P:$P, "L",PlayData!$AC:$AC, "Catch")</f>
        <v>1</v>
      </c>
      <c r="AP5" s="1">
        <f>COUNTIFS(PlayData!$O:$O, "Pass Attempt",PlayData!$AF:$AF,ReceivingData!$B5,PlayData!$AE:$AE, "&lt;=0", PlayData!$P:$P, "M",PlayData!$AC:$AC, "Catch")</f>
        <v>0</v>
      </c>
      <c r="AQ5" s="1">
        <f>COUNTIFS(PlayData!$O:$O, "Pass Attempt",PlayData!$AF:$AF,ReceivingData!$B5,PlayData!$AE:$AE, "&lt;=0", PlayData!$P:$P, "R",PlayData!$AC:$AC, "Catch")</f>
        <v>0</v>
      </c>
      <c r="AR5" s="1">
        <f>COUNTIFS(PlayData!$O:$O, "Pass Attempt",PlayData!$AF:$AF,ReceivingData!$B5,PlayData!$AE:$AE, "&gt;0",PlayData!$AE:$AE, "&lt;10",PlayData!$P:$P, "L",PlayData!$AC:$AC, "Catch")</f>
        <v>6</v>
      </c>
      <c r="AS5" s="1">
        <f>COUNTIFS(PlayData!$O:$O, "Pass Attempt",PlayData!$AF:$AF,ReceivingData!$B5,PlayData!$AE:$AE, "&gt;0",PlayData!$AE:$AE, "&lt;10",PlayData!$P:$P, "M",PlayData!$AC:$AC, "Catch")</f>
        <v>4</v>
      </c>
      <c r="AT5" s="1">
        <f>COUNTIFS(PlayData!$O:$O, "Pass Attempt",PlayData!$AF:$AF,ReceivingData!$B5,PlayData!$AE:$AE, "&gt;0",PlayData!$AE:$AE, "&lt;10",PlayData!$P:$P, "R",PlayData!$AC:$AC, "Catch")</f>
        <v>4</v>
      </c>
      <c r="AU5" s="1">
        <f>COUNTIFS(PlayData!$O:$O, "Pass Attempt",PlayData!$AF:$AF,ReceivingData!$B5,PlayData!$AE:$AE, "&gt;=10",PlayData!$AE:$AE, "&lt;20",PlayData!$P:$P, "L",PlayData!$AC:$AC, "Catch")</f>
        <v>0</v>
      </c>
      <c r="AV5" s="1">
        <f>COUNTIFS(PlayData!$O:$O, "Pass Attempt",PlayData!$AF:$AF,ReceivingData!$B5,PlayData!$AE:$AE, "&gt;=10",PlayData!$AE:$AE, "&lt;20",PlayData!$P:$P, "M",PlayData!$AC:$AC, "Catch")</f>
        <v>0</v>
      </c>
      <c r="AW5" s="1">
        <f>COUNTIFS(PlayData!$O:$O, "Pass Attempt",PlayData!$AF:$AF,ReceivingData!$B5,PlayData!$AE:$AE, "&gt;=10",PlayData!$AE:$AE, "&lt;20",PlayData!$P:$P, "R",PlayData!$AC:$AC, "Catch")</f>
        <v>0</v>
      </c>
      <c r="AX5" s="1">
        <f>COUNTIFS(PlayData!$O:$O, "Pass Attempt",PlayData!$AF:$AF,ReceivingData!$B5,PlayData!$AE:$AE, "&gt;=20",PlayData!$P:$P, "L",PlayData!$AC:$AC, "Catch")</f>
        <v>1</v>
      </c>
      <c r="AY5" s="1">
        <f>COUNTIFS(PlayData!$O:$O, "Pass Attempt",PlayData!$AF:$AF,ReceivingData!$B5,PlayData!$AE:$AE, "&gt;=20",PlayData!$P:$P, "M",PlayData!$AC:$AC, "Catch")</f>
        <v>0</v>
      </c>
      <c r="AZ5" s="1">
        <f>COUNTIFS(PlayData!$O:$O, "Pass Attempt",PlayData!$AF:$AF,ReceivingData!$B5,PlayData!$AE:$AE, "&gt;=20",PlayData!$P:$P, "R",PlayData!$AC:$AC, "Catch")</f>
        <v>1</v>
      </c>
    </row>
    <row r="6" spans="1:52" x14ac:dyDescent="0.5">
      <c r="A6" t="s">
        <v>170</v>
      </c>
      <c r="B6" s="1">
        <v>4</v>
      </c>
      <c r="C6" s="1">
        <f>COUNTIFS(PlayData!$O:$O, "Pass Attempt",PlayData!$AF:$AF,ReceivingData!$B6)</f>
        <v>14</v>
      </c>
      <c r="D6" s="1">
        <f>COUNTIFS(PlayData!$O:$O, "Pass Attempt", PlayData!$AC:$AC, "Catch", PlayData!$AF:$AF, $B6)</f>
        <v>12</v>
      </c>
      <c r="E6" s="1">
        <f>COUNTIFS(PlayData!$O:$O, "Pass Attempt", PlayData!$AC:$AC, "Drop", PlayData!$AF:$AF, $B6)</f>
        <v>0</v>
      </c>
      <c r="F6" s="1">
        <f>SUMIFS(PlayData!$AA:$AA, PlayData!$O:$O, "Pass Attempt", PlayData!$AC:$AC, "Catch", PlayData!$AF:$AF,ReceivingData!$B6)</f>
        <v>142</v>
      </c>
      <c r="G6" s="1">
        <f>SUMIFS(PlayData!$AE:$AE, PlayData!$O:$O,"Pass Attempt", PlayData!$AF:$AF,$B6)</f>
        <v>104.5</v>
      </c>
      <c r="H6" s="1">
        <f>SUMIFS(PlayData!$AE:$AE, PlayData!$O:$O,"Pass Attempt", PlayData!$AF:$AF,$B6, PlayData!$AC:$AC, "Catch")</f>
        <v>73.5</v>
      </c>
      <c r="I6" s="4">
        <f>$G6/$C6</f>
        <v>7.4642857142857144</v>
      </c>
      <c r="J6" s="4">
        <f>$H6/$D6</f>
        <v>6.125</v>
      </c>
      <c r="K6" s="1">
        <f>SUMIFS(PlayData!$AH:$AH, PlayData!$O:$O, "Pass Attempt", PlayData!$AF:$AF, $B6)</f>
        <v>68.5</v>
      </c>
      <c r="L6" s="1">
        <f>$K6/$D6</f>
        <v>5.708333333333333</v>
      </c>
      <c r="M6" s="1">
        <f>COUNTIFS(PlayData!$O:$O, "Pass Attempt", PlayData!$AF:$AF, $B6, PlayData!$AB:$AB, "TD")</f>
        <v>2</v>
      </c>
      <c r="N6" s="1">
        <f>COUNTIFS(PlayData!$O:$O, "Pass Attempt", PlayData!$AF:$AF, $B6, PlayData!$AB:$AB, "Fumble")</f>
        <v>0</v>
      </c>
      <c r="O6" s="1"/>
      <c r="P6" s="1">
        <f>COUNTIFS(PlayData!$O:$O, "Pass Attempt",PlayData!$AF:$AF,ReceivingData!$B6,PlayData!$AE:$AE, "&lt;=0")</f>
        <v>2</v>
      </c>
      <c r="Q6" s="1">
        <f>COUNTIFS(PlayData!$O:$O, "Pass Attempt",PlayData!$AF:$AF,ReceivingData!$B6,PlayData!$AE:$AE, "&gt;0",PlayData!$AE:$AE, "&lt;=9" )</f>
        <v>8</v>
      </c>
      <c r="R6" s="1">
        <f>COUNTIFS(PlayData!$O:$O, "Pass Attempt",PlayData!$AF:$AF,ReceivingData!$B6,PlayData!$AE:$AE, "&gt;=10",PlayData!$AE:$AE, "&lt;20" )</f>
        <v>3</v>
      </c>
      <c r="S6" s="1">
        <f>COUNTIFS(PlayData!$O:$O, "Pass Attempt",PlayData!$AF:$AF,ReceivingData!$B6,PlayData!$AE:$AE, "&gt;=20")</f>
        <v>1</v>
      </c>
      <c r="T6" s="1">
        <f>COUNTIFS(PlayData!$O:$O, "Pass Attempt",PlayData!$AF:$AF,ReceivingData!$B6,PlayData!$AE:$AE, "&lt;=0", PlayData!$P:$P, "L")</f>
        <v>2</v>
      </c>
      <c r="U6" s="1">
        <f>COUNTIFS(PlayData!$O:$O, "Pass Attempt",PlayData!$AF:$AF,ReceivingData!$B6,PlayData!$AE:$AE, "&lt;=0", PlayData!$P:$P, "M")</f>
        <v>0</v>
      </c>
      <c r="V6" s="1">
        <f>COUNTIFS(PlayData!$O:$O, "Pass Attempt",PlayData!$AF:$AF,ReceivingData!$B6,PlayData!$AE:$AE, "&lt;=0", PlayData!$P:$P, "R")</f>
        <v>0</v>
      </c>
      <c r="W6" s="1">
        <f>COUNTIFS(PlayData!$O:$O, "Pass Attempt",PlayData!$AF:$AF,ReceivingData!$B6,PlayData!$AE:$AE, "&gt;0",PlayData!$AE:$AE, "&lt;10",PlayData!$P:$P, "L")</f>
        <v>2</v>
      </c>
      <c r="X6" s="1">
        <f>COUNTIFS(PlayData!$O:$O, "Pass Attempt",PlayData!$AF:$AF,ReceivingData!$B6,PlayData!$AE:$AE, "&gt;0",PlayData!$AE:$AE, "&lt;10",PlayData!$P:$P, "M")</f>
        <v>2</v>
      </c>
      <c r="Y6" s="1">
        <f>COUNTIFS(PlayData!$O:$O, "Pass Attempt",PlayData!$AF:$AF,ReceivingData!$B6,PlayData!$AE:$AE, "&gt;0",PlayData!$AE:$AE, "&lt;10",PlayData!$P:$P, "R")</f>
        <v>4</v>
      </c>
      <c r="Z6" s="1">
        <f>COUNTIFS(PlayData!$O:$O, "Pass Attempt",PlayData!$AF:$AF,ReceivingData!$B6,PlayData!$AE:$AE, "&gt;=10",PlayData!$AE:$AE, "&lt;20",PlayData!$P:$P, "L")</f>
        <v>0</v>
      </c>
      <c r="AA6" s="1">
        <f>COUNTIFS(PlayData!$O:$O, "Pass Attempt",PlayData!$AF:$AF,ReceivingData!$B6,PlayData!$AE:$AE, "&gt;=10",PlayData!$AE:$AE, "&lt;20",PlayData!$P:$P, "M")</f>
        <v>1</v>
      </c>
      <c r="AB6" s="1">
        <f>COUNTIFS(PlayData!$O:$O, "Pass Attempt",PlayData!$AF:$AF,ReceivingData!$B6,PlayData!$AE:$AE, "&gt;=10",PlayData!$AE:$AE, "&lt;20",PlayData!$P:$P, "R")</f>
        <v>2</v>
      </c>
      <c r="AC6" s="1">
        <f>COUNTIFS(PlayData!$O:$O, "Pass Attempt",PlayData!$AF:$AF,ReceivingData!$B6,PlayData!$AE:$AE, "&gt;=20",PlayData!$P:$P, "L")</f>
        <v>0</v>
      </c>
      <c r="AD6" s="1">
        <f>COUNTIFS(PlayData!$O:$O, "Pass Attempt",PlayData!$AF:$AF,ReceivingData!$B6,PlayData!$AE:$AE, "&gt;=20",PlayData!$P:$P, "M")</f>
        <v>0</v>
      </c>
      <c r="AE6" s="1">
        <f>COUNTIFS(PlayData!$O:$O, "Pass Attempt",PlayData!$AF:$AF,ReceivingData!$B6,PlayData!$AE:$AE, "&gt;=20",PlayData!$P:$P, "R")</f>
        <v>1</v>
      </c>
      <c r="AF6" s="1">
        <f>COUNTIFS(PlayData!$O:$O, "Pass Attempt", PlayData!$AC:$AC, "Catch", PlayData!$AF:$AF, $B6,PlayData!$L:$L, "3")</f>
        <v>5</v>
      </c>
      <c r="AG6" s="1">
        <f>COUNTIFS(PlayData!$O:$O, "Pass Attempt",PlayData!$AF:$AF,ReceivingData!$B6,PlayData!$L:$L, "3")</f>
        <v>5</v>
      </c>
      <c r="AH6" s="1">
        <f>COUNTIFS(PlayData!$O:$O, "Pass Attempt", PlayData!$AG:$AG, "Y",PlayData!$AF:$AF, $B6)</f>
        <v>7</v>
      </c>
      <c r="AK6" s="1">
        <f>COUNTIFS(PlayData!$O:$O, "Pass Attempt",PlayData!$AF:$AF,ReceivingData!$B6,PlayData!$AE:$AE, "&lt;=0",PlayData!$AC:$AC, "Catch")</f>
        <v>2</v>
      </c>
      <c r="AL6" s="1">
        <f>COUNTIFS(PlayData!$O:$O, "Pass Attempt",PlayData!$AF:$AF,ReceivingData!$B6,PlayData!$AE:$AE, "&gt;0",PlayData!$AE:$AE, "&lt;10",PlayData!$AC:$AC, "Catch")</f>
        <v>7</v>
      </c>
      <c r="AM6" s="1">
        <f>COUNTIFS(PlayData!$O:$O, "Pass Attempt",PlayData!$AF:$AF,ReceivingData!$B6,PlayData!$AE:$AE, "&gt;=10",PlayData!$AE:$AE, "&lt;20",PlayData!$AC:$AC, "Catch")</f>
        <v>3</v>
      </c>
      <c r="AN6" s="1">
        <f>COUNTIFS(PlayData!$O:$O, "Pass Attempt",PlayData!$AF:$AF,ReceivingData!$B6,PlayData!$AE:$AE, "&gt;=20",PlayData!$AC:$AC, "Catch")</f>
        <v>0</v>
      </c>
      <c r="AO6" s="1">
        <f>COUNTIFS(PlayData!$O:$O, "Pass Attempt",PlayData!$AF:$AF,ReceivingData!$B6,PlayData!$AE:$AE, "&lt;=0", PlayData!$P:$P, "L",PlayData!$AC:$AC, "Catch")</f>
        <v>2</v>
      </c>
      <c r="AP6" s="1">
        <f>COUNTIFS(PlayData!$O:$O, "Pass Attempt",PlayData!$AF:$AF,ReceivingData!$B6,PlayData!$AE:$AE, "&lt;=0", PlayData!$P:$P, "M",PlayData!$AC:$AC, "Catch")</f>
        <v>0</v>
      </c>
      <c r="AQ6" s="1">
        <f>COUNTIFS(PlayData!$O:$O, "Pass Attempt",PlayData!$AF:$AF,ReceivingData!$B6,PlayData!$AE:$AE, "&lt;=0", PlayData!$P:$P, "R",PlayData!$AC:$AC, "Catch")</f>
        <v>0</v>
      </c>
      <c r="AR6" s="1">
        <f>COUNTIFS(PlayData!$O:$O, "Pass Attempt",PlayData!$AF:$AF,ReceivingData!$B6,PlayData!$AE:$AE, "&gt;0",PlayData!$AE:$AE, "&lt;10",PlayData!$P:$P, "L",PlayData!$AC:$AC, "Catch")</f>
        <v>2</v>
      </c>
      <c r="AS6" s="1">
        <f>COUNTIFS(PlayData!$O:$O, "Pass Attempt",PlayData!$AF:$AF,ReceivingData!$B6,PlayData!$AE:$AE, "&gt;0",PlayData!$AE:$AE, "&lt;10",PlayData!$P:$P, "M",PlayData!$AC:$AC, "Catch")</f>
        <v>1</v>
      </c>
      <c r="AT6" s="1">
        <f>COUNTIFS(PlayData!$O:$O, "Pass Attempt",PlayData!$AF:$AF,ReceivingData!$B6,PlayData!$AE:$AE, "&gt;0",PlayData!$AE:$AE, "&lt;10",PlayData!$P:$P, "R",PlayData!$AC:$AC, "Catch")</f>
        <v>4</v>
      </c>
      <c r="AU6" s="1">
        <f>COUNTIFS(PlayData!$O:$O, "Pass Attempt",PlayData!$AF:$AF,ReceivingData!$B6,PlayData!$AE:$AE, "&gt;=10",PlayData!$AE:$AE, "&lt;20",PlayData!$P:$P, "L",PlayData!$AC:$AC, "Catch")</f>
        <v>0</v>
      </c>
      <c r="AV6" s="1">
        <f>COUNTIFS(PlayData!$O:$O, "Pass Attempt",PlayData!$AF:$AF,ReceivingData!$B6,PlayData!$AE:$AE, "&gt;=10",PlayData!$AE:$AE, "&lt;20",PlayData!$P:$P, "M",PlayData!$AC:$AC, "Catch")</f>
        <v>1</v>
      </c>
      <c r="AW6" s="1">
        <f>COUNTIFS(PlayData!$O:$O, "Pass Attempt",PlayData!$AF:$AF,ReceivingData!$B6,PlayData!$AE:$AE, "&gt;=10",PlayData!$AE:$AE, "&lt;20",PlayData!$P:$P, "R",PlayData!$AC:$AC, "Catch")</f>
        <v>2</v>
      </c>
      <c r="AX6" s="1">
        <f>COUNTIFS(PlayData!$O:$O, "Pass Attempt",PlayData!$AF:$AF,ReceivingData!$B6,PlayData!$AE:$AE, "&gt;=20",PlayData!$P:$P, "L",PlayData!$AC:$AC, "Catch")</f>
        <v>0</v>
      </c>
      <c r="AY6" s="1">
        <f>COUNTIFS(PlayData!$O:$O, "Pass Attempt",PlayData!$AF:$AF,ReceivingData!$B6,PlayData!$AE:$AE, "&gt;=20",PlayData!$P:$P, "M",PlayData!$AC:$AC, "Catch")</f>
        <v>0</v>
      </c>
      <c r="AZ6" s="1">
        <f>COUNTIFS(PlayData!$O:$O, "Pass Attempt",PlayData!$AF:$AF,ReceivingData!$B6,PlayData!$AE:$AE, "&gt;=20",PlayData!$P:$P, "R",PlayData!$AC:$AC, "Catch")</f>
        <v>0</v>
      </c>
    </row>
    <row r="7" spans="1:52" x14ac:dyDescent="0.5">
      <c r="A7" t="s">
        <v>187</v>
      </c>
      <c r="B7" s="1">
        <v>1</v>
      </c>
      <c r="C7" s="1">
        <f>COUNTIFS(PlayData!$O:$O, "Pass Attempt",PlayData!$AF:$AF,ReceivingData!$B7)</f>
        <v>7</v>
      </c>
      <c r="D7" s="1">
        <f>COUNTIFS(PlayData!$O:$O, "Pass Attempt", PlayData!$AC:$AC, "Catch", PlayData!$AF:$AF, $B7)</f>
        <v>5</v>
      </c>
      <c r="E7" s="1">
        <f>COUNTIFS(PlayData!$O:$O, "Pass Attempt", PlayData!$AC:$AC, "Drop", PlayData!$AF:$AF, $B7)</f>
        <v>1</v>
      </c>
      <c r="F7" s="1">
        <f>SUMIFS(PlayData!$AA:$AA, PlayData!$O:$O, "Pass Attempt", PlayData!$AC:$AC, "Catch", PlayData!$AF:$AF,ReceivingData!$B7)</f>
        <v>13</v>
      </c>
      <c r="G7" s="1">
        <f>SUMIFS(PlayData!$AE:$AE, PlayData!$O:$O,"Pass Attempt", PlayData!$AF:$AF,$B7)</f>
        <v>12</v>
      </c>
      <c r="H7" s="1">
        <f>SUMIFS(PlayData!$AE:$AE, PlayData!$O:$O,"Pass Attempt", PlayData!$AF:$AF,$B7, PlayData!$AC:$AC, "Catch")</f>
        <v>4</v>
      </c>
      <c r="I7" s="4">
        <f t="shared" ref="I7:I8" si="0">$G7/$C7</f>
        <v>1.7142857142857142</v>
      </c>
      <c r="J7" s="4">
        <f t="shared" ref="J7:J8" si="1">$H7/$D7</f>
        <v>0.8</v>
      </c>
      <c r="K7" s="1">
        <f>SUMIFS(PlayData!$AH:$AH, PlayData!$O:$O, "Pass Attempt", PlayData!$AF:$AF, $B7)</f>
        <v>9</v>
      </c>
      <c r="L7" s="1">
        <f t="shared" ref="L7:L8" si="2">$K7/$D7</f>
        <v>1.8</v>
      </c>
      <c r="M7" s="1">
        <f>COUNTIFS(PlayData!$O:$O, "Pass Attempt", PlayData!$AF:$AF, $B7, PlayData!$AB:$AB, "TD")</f>
        <v>1</v>
      </c>
      <c r="N7" s="1">
        <f>COUNTIFS(PlayData!$O:$O, "Pass Attempt", PlayData!$AF:$AF, $B7, PlayData!$AB:$AB, "Fumble")</f>
        <v>0</v>
      </c>
      <c r="O7" s="1"/>
      <c r="P7" s="1">
        <f>COUNTIFS(PlayData!$O:$O, "Pass Attempt",PlayData!$AF:$AF,ReceivingData!$B7,PlayData!$AE:$AE, "&lt;=0")</f>
        <v>4</v>
      </c>
      <c r="Q7" s="1">
        <f>COUNTIFS(PlayData!$O:$O, "Pass Attempt",PlayData!$AF:$AF,ReceivingData!$B7,PlayData!$AE:$AE, "&gt;0",PlayData!$AE:$AE, "&lt;=9" )</f>
        <v>1</v>
      </c>
      <c r="R7" s="1">
        <f>COUNTIFS(PlayData!$O:$O, "Pass Attempt",PlayData!$AF:$AF,ReceivingData!$B7,PlayData!$AE:$AE, "&gt;=10",PlayData!$AE:$AE, "&lt;20" )</f>
        <v>2</v>
      </c>
      <c r="S7" s="1">
        <f>COUNTIFS(PlayData!$O:$O, "Pass Attempt",PlayData!$AF:$AF,ReceivingData!$B7,PlayData!$AE:$AE, "&gt;=20")</f>
        <v>0</v>
      </c>
      <c r="T7" s="1">
        <f>COUNTIFS(PlayData!$O:$O, "Pass Attempt",PlayData!$AF:$AF,ReceivingData!$B7,PlayData!$AE:$AE, "&lt;=0", PlayData!$P:$P, "L")</f>
        <v>4</v>
      </c>
      <c r="U7" s="1">
        <f>COUNTIFS(PlayData!$O:$O, "Pass Attempt",PlayData!$AF:$AF,ReceivingData!$B7,PlayData!$AE:$AE, "&lt;=0", PlayData!$P:$P, "M")</f>
        <v>0</v>
      </c>
      <c r="V7" s="1">
        <f>COUNTIFS(PlayData!$O:$O, "Pass Attempt",PlayData!$AF:$AF,ReceivingData!$B7,PlayData!$AE:$AE, "&lt;=0", PlayData!$P:$P, "R")</f>
        <v>0</v>
      </c>
      <c r="W7" s="1">
        <f>COUNTIFS(PlayData!$O:$O, "Pass Attempt",PlayData!$AF:$AF,ReceivingData!$B7,PlayData!$AE:$AE, "&gt;0",PlayData!$AE:$AE, "&lt;10",PlayData!$P:$P, "L")</f>
        <v>0</v>
      </c>
      <c r="X7" s="1">
        <f>COUNTIFS(PlayData!$O:$O, "Pass Attempt",PlayData!$AF:$AF,ReceivingData!$B7,PlayData!$AE:$AE, "&gt;0",PlayData!$AE:$AE, "&lt;10",PlayData!$P:$P, "M")</f>
        <v>0</v>
      </c>
      <c r="Y7" s="1">
        <f>COUNTIFS(PlayData!$O:$O, "Pass Attempt",PlayData!$AF:$AF,ReceivingData!$B7,PlayData!$AE:$AE, "&gt;0",PlayData!$AE:$AE, "&lt;10",PlayData!$P:$P, "R")</f>
        <v>1</v>
      </c>
      <c r="Z7" s="1">
        <f>COUNTIFS(PlayData!$O:$O, "Pass Attempt",PlayData!$AF:$AF,ReceivingData!$B7,PlayData!$AE:$AE, "&gt;=10",PlayData!$AE:$AE, "&lt;20",PlayData!$P:$P, "L")</f>
        <v>1</v>
      </c>
      <c r="AA7" s="1">
        <f>COUNTIFS(PlayData!$O:$O, "Pass Attempt",PlayData!$AF:$AF,ReceivingData!$B7,PlayData!$AE:$AE, "&gt;=10",PlayData!$AE:$AE, "&lt;20",PlayData!$P:$P, "M")</f>
        <v>0</v>
      </c>
      <c r="AB7" s="1">
        <f>COUNTIFS(PlayData!$O:$O, "Pass Attempt",PlayData!$AF:$AF,ReceivingData!$B7,PlayData!$AE:$AE, "&gt;=10",PlayData!$AE:$AE, "&lt;20",PlayData!$P:$P, "R")</f>
        <v>1</v>
      </c>
      <c r="AC7" s="1">
        <f>COUNTIFS(PlayData!$O:$O, "Pass Attempt",PlayData!$AF:$AF,ReceivingData!$B7,PlayData!$AE:$AE, "&gt;=20",PlayData!$P:$P, "L")</f>
        <v>0</v>
      </c>
      <c r="AD7" s="1">
        <f>COUNTIFS(PlayData!$O:$O, "Pass Attempt",PlayData!$AF:$AF,ReceivingData!$B7,PlayData!$AE:$AE, "&gt;=20",PlayData!$P:$P, "M")</f>
        <v>0</v>
      </c>
      <c r="AE7" s="1">
        <f>COUNTIFS(PlayData!$O:$O, "Pass Attempt",PlayData!$AF:$AF,ReceivingData!$B7,PlayData!$AE:$AE, "&gt;=20",PlayData!$P:$P, "R")</f>
        <v>0</v>
      </c>
      <c r="AF7" s="1">
        <f>COUNTIFS(PlayData!$O:$O, "Pass Attempt", PlayData!$AC:$AC, "Catch", PlayData!$AF:$AF, $B7,PlayData!$L:$L, "3")</f>
        <v>1</v>
      </c>
      <c r="AG7" s="1">
        <f>COUNTIFS(PlayData!$O:$O, "Pass Attempt",PlayData!$AF:$AF,ReceivingData!$B7,PlayData!$L:$L, "3")</f>
        <v>2</v>
      </c>
      <c r="AH7" s="1">
        <f>COUNTIFS(PlayData!$O:$O, "Pass Attempt", PlayData!$AG:$AG, "Y",PlayData!$AF:$AF, $B7)</f>
        <v>1</v>
      </c>
      <c r="AK7" s="1">
        <f>COUNTIFS(PlayData!$O:$O, "Pass Attempt",PlayData!$AF:$AF,ReceivingData!$B7,PlayData!$AE:$AE, "&lt;=0",PlayData!$AC:$AC, "Catch")</f>
        <v>3</v>
      </c>
      <c r="AL7" s="1">
        <f>COUNTIFS(PlayData!$O:$O, "Pass Attempt",PlayData!$AF:$AF,ReceivingData!$B7,PlayData!$AE:$AE, "&gt;0",PlayData!$AE:$AE, "&lt;10",PlayData!$AC:$AC, "Catch")</f>
        <v>1</v>
      </c>
      <c r="AM7" s="1">
        <f>COUNTIFS(PlayData!$O:$O, "Pass Attempt",PlayData!$AF:$AF,ReceivingData!$B7,PlayData!$AE:$AE, "&gt;=10",PlayData!$AE:$AE, "&lt;20",PlayData!$AC:$AC, "Catch")</f>
        <v>1</v>
      </c>
      <c r="AN7" s="1">
        <f>COUNTIFS(PlayData!$O:$O, "Pass Attempt",PlayData!$AF:$AF,ReceivingData!$B7,PlayData!$AE:$AE, "&gt;=20",PlayData!$AC:$AC, "Catch")</f>
        <v>0</v>
      </c>
      <c r="AO7" s="1">
        <f>COUNTIFS(PlayData!$O:$O, "Pass Attempt",PlayData!$AF:$AF,ReceivingData!$B7,PlayData!$AE:$AE, "&lt;=0", PlayData!$P:$P, "L",PlayData!$AC:$AC, "Catch")</f>
        <v>3</v>
      </c>
      <c r="AP7" s="1">
        <f>COUNTIFS(PlayData!$O:$O, "Pass Attempt",PlayData!$AF:$AF,ReceivingData!$B7,PlayData!$AE:$AE, "&lt;=0", PlayData!$P:$P, "M",PlayData!$AC:$AC, "Catch")</f>
        <v>0</v>
      </c>
      <c r="AQ7" s="1">
        <f>COUNTIFS(PlayData!$O:$O, "Pass Attempt",PlayData!$AF:$AF,ReceivingData!$B7,PlayData!$AE:$AE, "&lt;=0", PlayData!$P:$P, "R",PlayData!$AC:$AC, "Catch")</f>
        <v>0</v>
      </c>
      <c r="AR7" s="1">
        <f>COUNTIFS(PlayData!$O:$O, "Pass Attempt",PlayData!$AF:$AF,ReceivingData!$B7,PlayData!$AE:$AE, "&gt;0",PlayData!$AE:$AE, "&lt;10",PlayData!$P:$P, "L",PlayData!$AC:$AC, "Catch")</f>
        <v>0</v>
      </c>
      <c r="AS7" s="1">
        <f>COUNTIFS(PlayData!$O:$O, "Pass Attempt",PlayData!$AF:$AF,ReceivingData!$B7,PlayData!$AE:$AE, "&gt;0",PlayData!$AE:$AE, "&lt;10",PlayData!$P:$P, "M",PlayData!$AC:$AC, "Catch")</f>
        <v>0</v>
      </c>
      <c r="AT7" s="1">
        <f>COUNTIFS(PlayData!$O:$O, "Pass Attempt",PlayData!$AF:$AF,ReceivingData!$B7,PlayData!$AE:$AE, "&gt;0",PlayData!$AE:$AE, "&lt;10",PlayData!$P:$P, "R",PlayData!$AC:$AC, "Catch")</f>
        <v>1</v>
      </c>
      <c r="AU7" s="1">
        <f>COUNTIFS(PlayData!$O:$O, "Pass Attempt",PlayData!$AF:$AF,ReceivingData!$B7,PlayData!$AE:$AE, "&gt;=10",PlayData!$AE:$AE, "&lt;20",PlayData!$P:$P, "L",PlayData!$AC:$AC, "Catch")</f>
        <v>1</v>
      </c>
      <c r="AV7" s="1">
        <f>COUNTIFS(PlayData!$O:$O, "Pass Attempt",PlayData!$AF:$AF,ReceivingData!$B7,PlayData!$AE:$AE, "&gt;=10",PlayData!$AE:$AE, "&lt;20",PlayData!$P:$P, "M",PlayData!$AC:$AC, "Catch")</f>
        <v>0</v>
      </c>
      <c r="AW7" s="1">
        <f>COUNTIFS(PlayData!$O:$O, "Pass Attempt",PlayData!$AF:$AF,ReceivingData!$B7,PlayData!$AE:$AE, "&gt;=10",PlayData!$AE:$AE, "&lt;20",PlayData!$P:$P, "R",PlayData!$AC:$AC, "Catch")</f>
        <v>0</v>
      </c>
      <c r="AX7" s="1">
        <f>COUNTIFS(PlayData!$O:$O, "Pass Attempt",PlayData!$AF:$AF,ReceivingData!$B7,PlayData!$AE:$AE, "&gt;=20",PlayData!$P:$P, "L",PlayData!$AC:$AC, "Catch")</f>
        <v>0</v>
      </c>
      <c r="AY7" s="1">
        <f>COUNTIFS(PlayData!$O:$O, "Pass Attempt",PlayData!$AF:$AF,ReceivingData!$B7,PlayData!$AE:$AE, "&gt;=20",PlayData!$P:$P, "M",PlayData!$AC:$AC, "Catch")</f>
        <v>0</v>
      </c>
      <c r="AZ7" s="1">
        <f>COUNTIFS(PlayData!$O:$O, "Pass Attempt",PlayData!$AF:$AF,ReceivingData!$B7,PlayData!$AE:$AE, "&gt;=20",PlayData!$P:$P, "R",PlayData!$AC:$AC, "Catch")</f>
        <v>0</v>
      </c>
    </row>
    <row r="8" spans="1:52" x14ac:dyDescent="0.5">
      <c r="A8" t="s">
        <v>164</v>
      </c>
      <c r="B8" s="1">
        <v>33</v>
      </c>
      <c r="C8" s="1">
        <f>COUNTIFS(PlayData!$O:$O, "Pass Attempt",PlayData!$AF:$AF,ReceivingData!$B8)</f>
        <v>2</v>
      </c>
      <c r="D8" s="1">
        <f>COUNTIFS(PlayData!$O:$O, "Pass Attempt", PlayData!$AC:$AC, "Catch", PlayData!$AF:$AF, $B8)</f>
        <v>0</v>
      </c>
      <c r="E8" s="1">
        <f>COUNTIFS(PlayData!$O:$O, "Pass Attempt", PlayData!$AC:$AC, "Drop", PlayData!$AF:$AF, $B8)</f>
        <v>0</v>
      </c>
      <c r="F8" s="1">
        <f>SUMIFS(PlayData!$AA:$AA, PlayData!$O:$O, "Pass Attempt", PlayData!$AC:$AC, "Catch", PlayData!$AF:$AF,ReceivingData!$B8)</f>
        <v>0</v>
      </c>
      <c r="G8" s="1">
        <f>SUMIFS(PlayData!$AE:$AE, PlayData!$O:$O,"Pass Attempt", PlayData!$AF:$AF,$B8)</f>
        <v>-2</v>
      </c>
      <c r="H8" s="1">
        <f>SUMIFS(PlayData!$AE:$AE, PlayData!$O:$O,"Pass Attempt", PlayData!$AF:$AF,$B8, PlayData!$AC:$AC, "Catch")</f>
        <v>0</v>
      </c>
      <c r="I8" s="4">
        <f t="shared" si="0"/>
        <v>-1</v>
      </c>
      <c r="J8" s="4" t="e">
        <f t="shared" si="1"/>
        <v>#DIV/0!</v>
      </c>
      <c r="K8" s="1">
        <f>SUMIFS(PlayData!$AH:$AH, PlayData!$O:$O, "Pass Attempt", PlayData!$AF:$AF, $B8)</f>
        <v>0</v>
      </c>
      <c r="L8" s="1" t="e">
        <f t="shared" si="2"/>
        <v>#DIV/0!</v>
      </c>
      <c r="M8" s="1">
        <f>COUNTIFS(PlayData!$O:$O, "Pass Attempt", PlayData!$AF:$AF, $B8, PlayData!$AB:$AB, "TD")</f>
        <v>0</v>
      </c>
      <c r="N8" s="1">
        <f>COUNTIFS(PlayData!$O:$O, "Pass Attempt", PlayData!$AF:$AF, $B8, PlayData!$AB:$AB, "Fumble")</f>
        <v>0</v>
      </c>
      <c r="O8" s="1"/>
      <c r="P8" s="1">
        <f>COUNTIFS(PlayData!$O:$O, "Pass Attempt",PlayData!$AF:$AF,ReceivingData!$B8,PlayData!$AE:$AE, "&lt;=0")</f>
        <v>2</v>
      </c>
      <c r="Q8" s="1">
        <f>COUNTIFS(PlayData!$O:$O, "Pass Attempt",PlayData!$AF:$AF,ReceivingData!$B8,PlayData!$AE:$AE, "&gt;0",PlayData!$AE:$AE, "&lt;=9" )</f>
        <v>0</v>
      </c>
      <c r="R8" s="1">
        <f>COUNTIFS(PlayData!$O:$O, "Pass Attempt",PlayData!$AF:$AF,ReceivingData!$B8,PlayData!$AE:$AE, "&gt;=10",PlayData!$AE:$AE, "&lt;20" )</f>
        <v>0</v>
      </c>
      <c r="S8" s="1">
        <f>COUNTIFS(PlayData!$O:$O, "Pass Attempt",PlayData!$AF:$AF,ReceivingData!$B8,PlayData!$AE:$AE, "&gt;=20")</f>
        <v>0</v>
      </c>
      <c r="T8" s="1">
        <f>COUNTIFS(PlayData!$O:$O, "Pass Attempt",PlayData!$AF:$AF,ReceivingData!$B8,PlayData!$AE:$AE, "&lt;=0", PlayData!$P:$P, "L")</f>
        <v>1</v>
      </c>
      <c r="U8" s="1">
        <f>COUNTIFS(PlayData!$O:$O, "Pass Attempt",PlayData!$AF:$AF,ReceivingData!$B8,PlayData!$AE:$AE, "&lt;=0", PlayData!$P:$P, "M")</f>
        <v>0</v>
      </c>
      <c r="V8" s="1">
        <f>COUNTIFS(PlayData!$O:$O, "Pass Attempt",PlayData!$AF:$AF,ReceivingData!$B8,PlayData!$AE:$AE, "&lt;=0", PlayData!$P:$P, "R")</f>
        <v>1</v>
      </c>
      <c r="W8" s="1">
        <f>COUNTIFS(PlayData!$O:$O, "Pass Attempt",PlayData!$AF:$AF,ReceivingData!$B8,PlayData!$AE:$AE, "&gt;0",PlayData!$AE:$AE, "&lt;10",PlayData!$P:$P, "L")</f>
        <v>0</v>
      </c>
      <c r="X8" s="1">
        <f>COUNTIFS(PlayData!$O:$O, "Pass Attempt",PlayData!$AF:$AF,ReceivingData!$B8,PlayData!$AE:$AE, "&gt;0",PlayData!$AE:$AE, "&lt;10",PlayData!$P:$P, "M")</f>
        <v>0</v>
      </c>
      <c r="Y8" s="1">
        <f>COUNTIFS(PlayData!$O:$O, "Pass Attempt",PlayData!$AF:$AF,ReceivingData!$B8,PlayData!$AE:$AE, "&gt;0",PlayData!$AE:$AE, "&lt;10",PlayData!$P:$P, "R")</f>
        <v>0</v>
      </c>
      <c r="Z8" s="1">
        <f>COUNTIFS(PlayData!$O:$O, "Pass Attempt",PlayData!$AF:$AF,ReceivingData!$B8,PlayData!$AE:$AE, "&gt;=10",PlayData!$AE:$AE, "&lt;20",PlayData!$P:$P, "L")</f>
        <v>0</v>
      </c>
      <c r="AA8" s="1">
        <f>COUNTIFS(PlayData!$O:$O, "Pass Attempt",PlayData!$AF:$AF,ReceivingData!$B8,PlayData!$AE:$AE, "&gt;=10",PlayData!$AE:$AE, "&lt;20",PlayData!$P:$P, "M")</f>
        <v>0</v>
      </c>
      <c r="AB8" s="1">
        <f>COUNTIFS(PlayData!$O:$O, "Pass Attempt",PlayData!$AF:$AF,ReceivingData!$B8,PlayData!$AE:$AE, "&gt;=10",PlayData!$AE:$AE, "&lt;20",PlayData!$P:$P, "R")</f>
        <v>0</v>
      </c>
      <c r="AC8" s="1">
        <f>COUNTIFS(PlayData!$O:$O, "Pass Attempt",PlayData!$AF:$AF,ReceivingData!$B8,PlayData!$AE:$AE, "&gt;=20",PlayData!$P:$P, "L")</f>
        <v>0</v>
      </c>
      <c r="AD8" s="1">
        <f>COUNTIFS(PlayData!$O:$O, "Pass Attempt",PlayData!$AF:$AF,ReceivingData!$B8,PlayData!$AE:$AE, "&gt;=20",PlayData!$P:$P, "M")</f>
        <v>0</v>
      </c>
      <c r="AE8" s="1">
        <f>COUNTIFS(PlayData!$O:$O, "Pass Attempt",PlayData!$AF:$AF,ReceivingData!$B8,PlayData!$AE:$AE, "&gt;=20",PlayData!$P:$P, "R")</f>
        <v>0</v>
      </c>
      <c r="AF8" s="1">
        <f>COUNTIFS(PlayData!$O:$O, "Pass Attempt", PlayData!$AC:$AC, "Catch", PlayData!$AF:$AF, $B8,PlayData!$L:$L, "3")</f>
        <v>0</v>
      </c>
      <c r="AG8" s="1">
        <f>COUNTIFS(PlayData!$O:$O, "Pass Attempt",PlayData!$AF:$AF,ReceivingData!$B8,PlayData!$L:$L, "3")</f>
        <v>0</v>
      </c>
      <c r="AH8" s="1">
        <f>COUNTIFS(PlayData!$O:$O, "Pass Attempt", PlayData!$AG:$AG, "Y",PlayData!$AF:$AF, $B8)</f>
        <v>0</v>
      </c>
      <c r="AK8" s="1">
        <f>COUNTIFS(PlayData!$O:$O, "Pass Attempt",PlayData!$AF:$AF,ReceivingData!$B8,PlayData!$AE:$AE, "&lt;=0",PlayData!$AC:$AC, "Catch")</f>
        <v>0</v>
      </c>
      <c r="AL8" s="1">
        <f>COUNTIFS(PlayData!$O:$O, "Pass Attempt",PlayData!$AF:$AF,ReceivingData!$B8,PlayData!$AE:$AE, "&gt;0",PlayData!$AE:$AE, "&lt;10",PlayData!$AC:$AC, "Catch")</f>
        <v>0</v>
      </c>
      <c r="AM8" s="1">
        <f>COUNTIFS(PlayData!$O:$O, "Pass Attempt",PlayData!$AF:$AF,ReceivingData!$B8,PlayData!$AE:$AE, "&gt;=10",PlayData!$AE:$AE, "&lt;20",PlayData!$AC:$AC, "Catch")</f>
        <v>0</v>
      </c>
      <c r="AN8" s="1">
        <f>COUNTIFS(PlayData!$O:$O, "Pass Attempt",PlayData!$AF:$AF,ReceivingData!$B8,PlayData!$AE:$AE, "&gt;=20",PlayData!$AC:$AC, "Catch")</f>
        <v>0</v>
      </c>
      <c r="AO8" s="1">
        <f>COUNTIFS(PlayData!$O:$O, "Pass Attempt",PlayData!$AF:$AF,ReceivingData!$B8,PlayData!$AE:$AE, "&lt;=0", PlayData!$P:$P, "L",PlayData!$AC:$AC, "Catch")</f>
        <v>0</v>
      </c>
      <c r="AP8" s="1">
        <f>COUNTIFS(PlayData!$O:$O, "Pass Attempt",PlayData!$AF:$AF,ReceivingData!$B8,PlayData!$AE:$AE, "&lt;=0", PlayData!$P:$P, "M",PlayData!$AC:$AC, "Catch")</f>
        <v>0</v>
      </c>
      <c r="AQ8" s="1">
        <f>COUNTIFS(PlayData!$O:$O, "Pass Attempt",PlayData!$AF:$AF,ReceivingData!$B8,PlayData!$AE:$AE, "&lt;=0", PlayData!$P:$P, "R",PlayData!$AC:$AC, "Catch")</f>
        <v>0</v>
      </c>
      <c r="AR8" s="1">
        <f>COUNTIFS(PlayData!$O:$O, "Pass Attempt",PlayData!$AF:$AF,ReceivingData!$B8,PlayData!$AE:$AE, "&gt;0",PlayData!$AE:$AE, "&lt;10",PlayData!$P:$P, "L",PlayData!$AC:$AC, "Catch")</f>
        <v>0</v>
      </c>
      <c r="AS8" s="1">
        <f>COUNTIFS(PlayData!$O:$O, "Pass Attempt",PlayData!$AF:$AF,ReceivingData!$B8,PlayData!$AE:$AE, "&gt;0",PlayData!$AE:$AE, "&lt;10",PlayData!$P:$P, "M",PlayData!$AC:$AC, "Catch")</f>
        <v>0</v>
      </c>
      <c r="AT8" s="1">
        <f>COUNTIFS(PlayData!$O:$O, "Pass Attempt",PlayData!$AF:$AF,ReceivingData!$B8,PlayData!$AE:$AE, "&gt;0",PlayData!$AE:$AE, "&lt;10",PlayData!$P:$P, "R",PlayData!$AC:$AC, "Catch")</f>
        <v>0</v>
      </c>
      <c r="AU8" s="1">
        <f>COUNTIFS(PlayData!$O:$O, "Pass Attempt",PlayData!$AF:$AF,ReceivingData!$B8,PlayData!$AE:$AE, "&gt;=10",PlayData!$AE:$AE, "&lt;20",PlayData!$P:$P, "L",PlayData!$AC:$AC, "Catch")</f>
        <v>0</v>
      </c>
      <c r="AV8" s="1">
        <f>COUNTIFS(PlayData!$O:$O, "Pass Attempt",PlayData!$AF:$AF,ReceivingData!$B8,PlayData!$AE:$AE, "&gt;=10",PlayData!$AE:$AE, "&lt;20",PlayData!$P:$P, "M",PlayData!$AC:$AC, "Catch")</f>
        <v>0</v>
      </c>
      <c r="AW8" s="1">
        <f>COUNTIFS(PlayData!$O:$O, "Pass Attempt",PlayData!$AF:$AF,ReceivingData!$B8,PlayData!$AE:$AE, "&gt;=10",PlayData!$AE:$AE, "&lt;20",PlayData!$P:$P, "R",PlayData!$AC:$AC, "Catch")</f>
        <v>0</v>
      </c>
      <c r="AX8" s="1">
        <f>COUNTIFS(PlayData!$O:$O, "Pass Attempt",PlayData!$AF:$AF,ReceivingData!$B8,PlayData!$AE:$AE, "&gt;=20",PlayData!$P:$P, "L",PlayData!$AC:$AC, "Catch")</f>
        <v>0</v>
      </c>
      <c r="AY8" s="1">
        <f>COUNTIFS(PlayData!$O:$O, "Pass Attempt",PlayData!$AF:$AF,ReceivingData!$B8,PlayData!$AE:$AE, "&gt;=20",PlayData!$P:$P, "M",PlayData!$AC:$AC, "Catch")</f>
        <v>0</v>
      </c>
      <c r="AZ8" s="1">
        <f>COUNTIFS(PlayData!$O:$O, "Pass Attempt",PlayData!$AF:$AF,ReceivingData!$B8,PlayData!$AE:$AE, "&gt;=20",PlayData!$P:$P, "R",PlayData!$AC:$AC, "Catch")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BACA-9F59-428A-B928-373FECDC794A}">
  <dimension ref="A1:E60"/>
  <sheetViews>
    <sheetView workbookViewId="0">
      <selection activeCell="G55" sqref="G55"/>
    </sheetView>
  </sheetViews>
  <sheetFormatPr defaultRowHeight="14.35" x14ac:dyDescent="0.5"/>
  <cols>
    <col min="1" max="1" width="19.52734375" style="3" bestFit="1" customWidth="1"/>
    <col min="2" max="2" width="10.234375" bestFit="1" customWidth="1"/>
    <col min="3" max="5" width="9.234375" bestFit="1" customWidth="1"/>
  </cols>
  <sheetData>
    <row r="1" spans="1:5" x14ac:dyDescent="0.5">
      <c r="B1" s="3">
        <v>1</v>
      </c>
      <c r="C1" s="3">
        <v>2</v>
      </c>
      <c r="D1" s="3">
        <v>3</v>
      </c>
      <c r="E1" s="3">
        <v>4</v>
      </c>
    </row>
    <row r="2" spans="1:5" x14ac:dyDescent="0.5">
      <c r="A2" s="3" t="s">
        <v>111</v>
      </c>
      <c r="B2" s="14">
        <f>COUNTIFS(PlayData!$L:$L, B$1)</f>
        <v>91</v>
      </c>
      <c r="C2" s="14">
        <f>COUNTIFS(PlayData!$L:$L, C$1)</f>
        <v>70</v>
      </c>
      <c r="D2" s="14">
        <f>COUNTIFS(PlayData!$L:$L, D$1)</f>
        <v>41</v>
      </c>
      <c r="E2" s="14">
        <f>COUNTIFS(PlayData!$L:$L, E$1)</f>
        <v>7</v>
      </c>
    </row>
    <row r="3" spans="1:5" x14ac:dyDescent="0.5">
      <c r="A3" s="3" t="s">
        <v>112</v>
      </c>
      <c r="B3" s="14">
        <f>SUMIFS(PlayData!$AA:$AA, PlayData!$L:$L, B$1)</f>
        <v>423</v>
      </c>
      <c r="C3" s="14">
        <f>SUMIFS(PlayData!$AA:$AA, PlayData!$L:$L, C$1)</f>
        <v>314</v>
      </c>
      <c r="D3" s="14">
        <f>SUMIFS(PlayData!$AA:$AA, PlayData!$L:$L, D$1)</f>
        <v>242</v>
      </c>
      <c r="E3" s="14">
        <f>SUMIFS(PlayData!$AA:$AA, PlayData!$L:$L, E$1)</f>
        <v>4</v>
      </c>
    </row>
    <row r="4" spans="1:5" x14ac:dyDescent="0.5">
      <c r="A4" s="3" t="s">
        <v>188</v>
      </c>
      <c r="B4" s="15">
        <f>B$5/B$2</f>
        <v>10.219780219780219</v>
      </c>
      <c r="C4" s="15">
        <f t="shared" ref="C4:D4" si="0">C$5/C$2</f>
        <v>7.8</v>
      </c>
      <c r="D4" s="15">
        <f t="shared" si="0"/>
        <v>7.4390243902439028</v>
      </c>
      <c r="E4" s="15">
        <f>E$5/E$2</f>
        <v>6.8571428571428568</v>
      </c>
    </row>
    <row r="5" spans="1:5" x14ac:dyDescent="0.5">
      <c r="A5" s="3" t="s">
        <v>189</v>
      </c>
      <c r="B5">
        <f>SUMIFS(PlayData!$M:$M,PlayData!$L:$L, B$1)</f>
        <v>930</v>
      </c>
      <c r="C5">
        <f>SUMIFS(PlayData!$M:$M,PlayData!$L:$L, C$1)</f>
        <v>546</v>
      </c>
      <c r="D5">
        <f>SUMIFS(PlayData!$M:$M,PlayData!$L:$L, D$1)</f>
        <v>305</v>
      </c>
      <c r="E5">
        <f>SUMIFS(PlayData!$M:$M,PlayData!$L:$L, E$1)</f>
        <v>48</v>
      </c>
    </row>
    <row r="10" spans="1:5" x14ac:dyDescent="0.5">
      <c r="A10" s="3" t="s">
        <v>115</v>
      </c>
    </row>
    <row r="11" spans="1:5" x14ac:dyDescent="0.5">
      <c r="A11" s="3" t="s">
        <v>110</v>
      </c>
      <c r="B11" s="14">
        <f>COUNTIFS(PlayData!$L:$L, B$1, PlayData!$O:$O, "Run")</f>
        <v>54</v>
      </c>
      <c r="C11" s="14">
        <f>COUNTIFS(PlayData!$L:$L, C$1,PlayData!$O:$O, "Run")</f>
        <v>30</v>
      </c>
      <c r="D11" s="14">
        <f>COUNTIFS(PlayData!$L:$L, D$1,PlayData!$O:$O, "Run")</f>
        <v>10</v>
      </c>
      <c r="E11" s="14">
        <f>COUNTIFS(PlayData!$L:$L, E$1,PlayData!$O:$O, "Run")</f>
        <v>1</v>
      </c>
    </row>
    <row r="12" spans="1:5" x14ac:dyDescent="0.5">
      <c r="A12" s="3" t="s">
        <v>113</v>
      </c>
      <c r="B12" s="14">
        <f>SUMIFS(PlayData!$AA:$AA, PlayData!$L:$L, B$1, PlayData!$O:$O, "Run")</f>
        <v>224</v>
      </c>
      <c r="C12" s="14">
        <f>SUMIFS(PlayData!$AA:$AA, PlayData!$L:$L, C$1, PlayData!$O:$O, "Run")</f>
        <v>138</v>
      </c>
      <c r="D12" s="14">
        <f>SUMIFS(PlayData!$AA:$AA, PlayData!$L:$L, D$1, PlayData!$O:$O, "Run")</f>
        <v>50</v>
      </c>
      <c r="E12" s="14">
        <f>SUMIFS(PlayData!$AA:$AA, PlayData!$L:$L, E$1, PlayData!$O:$O, "Run")</f>
        <v>11</v>
      </c>
    </row>
    <row r="13" spans="1:5" x14ac:dyDescent="0.5">
      <c r="A13" s="3" t="s">
        <v>116</v>
      </c>
      <c r="B13">
        <f>B$12/B$11</f>
        <v>4.1481481481481479</v>
      </c>
      <c r="C13">
        <f>C$12/C$11</f>
        <v>4.5999999999999996</v>
      </c>
      <c r="D13">
        <f>D$12/D$11</f>
        <v>5</v>
      </c>
      <c r="E13">
        <f>E$12/E$11</f>
        <v>11</v>
      </c>
    </row>
    <row r="14" spans="1:5" x14ac:dyDescent="0.5">
      <c r="A14" s="3" t="s">
        <v>117</v>
      </c>
      <c r="B14">
        <f>COUNTIFS(PlayData!$AG:$AG, "Y", PlayData!$O:$O, "Run",PlayData!$L:$L,TeamEff!B$1)</f>
        <v>7</v>
      </c>
      <c r="C14">
        <f>COUNTIFS(PlayData!$AG:$AG, "Y", PlayData!$O:$O, "Run",PlayData!$L:$L,TeamEff!C$1)</f>
        <v>9</v>
      </c>
      <c r="D14">
        <f>COUNTIFS(PlayData!$AG:$AG, "Y", PlayData!$O:$O, "Run",PlayData!$L:$L,TeamEff!D$1)</f>
        <v>4</v>
      </c>
      <c r="E14">
        <f>COUNTIFS(PlayData!$AG:$AG, "Y", PlayData!$O:$O, "Run",PlayData!$L:$L,TeamEff!E$1)</f>
        <v>0</v>
      </c>
    </row>
    <row r="21" spans="1:5" x14ac:dyDescent="0.5">
      <c r="A21" s="3" t="s">
        <v>118</v>
      </c>
    </row>
    <row r="22" spans="1:5" x14ac:dyDescent="0.5">
      <c r="A22" s="3" t="s">
        <v>119</v>
      </c>
      <c r="B22">
        <f>SUM(B$25,B$30,B$32)</f>
        <v>28</v>
      </c>
      <c r="C22">
        <f>SUM(C$25,C$30,C$32)</f>
        <v>36</v>
      </c>
      <c r="D22">
        <f>SUM(D$25,D$30,D$32)</f>
        <v>25</v>
      </c>
      <c r="E22">
        <f>SUM(E$25,E$30,E$32)</f>
        <v>6</v>
      </c>
    </row>
    <row r="23" spans="1:5" x14ac:dyDescent="0.5">
      <c r="A23" s="3" t="s">
        <v>120</v>
      </c>
      <c r="B23">
        <f>SUM(B$28,B$31,B$33)</f>
        <v>192</v>
      </c>
      <c r="C23">
        <f>SUM(C$28,C$31,C$33)</f>
        <v>187</v>
      </c>
      <c r="D23">
        <f>SUM(D$28,D$31,D$33)</f>
        <v>145</v>
      </c>
      <c r="E23">
        <f>SUM(E$28,E$31,E$33)</f>
        <v>-7</v>
      </c>
    </row>
    <row r="24" spans="1:5" x14ac:dyDescent="0.5">
      <c r="A24" s="3" t="s">
        <v>125</v>
      </c>
      <c r="B24">
        <f>B$23/B$22</f>
        <v>6.8571428571428568</v>
      </c>
      <c r="C24">
        <f>C$23/C$22</f>
        <v>5.1944444444444446</v>
      </c>
      <c r="D24">
        <f>D$23/D$22</f>
        <v>5.8</v>
      </c>
      <c r="E24">
        <f>E$23/E$22</f>
        <v>-1.1666666666666667</v>
      </c>
    </row>
    <row r="25" spans="1:5" x14ac:dyDescent="0.5">
      <c r="A25" s="3" t="s">
        <v>121</v>
      </c>
      <c r="B25">
        <f>COUNTIFS(PlayData!$O:$O, "Pass Attempt", PlayData!$L:$L,TeamEff!B$1)</f>
        <v>26</v>
      </c>
      <c r="C25">
        <f>COUNTIFS(PlayData!$O:$O, "Pass Attempt", PlayData!$L:$L,TeamEff!C$1)</f>
        <v>29</v>
      </c>
      <c r="D25">
        <f>COUNTIFS(PlayData!$O:$O, "Pass Attempt", PlayData!$L:$L,TeamEff!D$1)</f>
        <v>20</v>
      </c>
      <c r="E25">
        <f>COUNTIFS(PlayData!$O:$O, "Pass Attempt", PlayData!$L:$L,TeamEff!E$1)</f>
        <v>4</v>
      </c>
    </row>
    <row r="26" spans="1:5" x14ac:dyDescent="0.5">
      <c r="A26" s="3" t="s">
        <v>163</v>
      </c>
      <c r="B26">
        <f>COUNTIFS(PlayData!$O:$O, "Pass Attempt", PlayData!$L:$L,TeamEff!B$1,PlayData!$AC:$AC, "Catch")</f>
        <v>17</v>
      </c>
      <c r="C26">
        <f>COUNTIFS(PlayData!$O:$O, "Pass Attempt", PlayData!$L:$L,TeamEff!C$1,PlayData!$AC:$AC, "Catch")</f>
        <v>21</v>
      </c>
      <c r="D26">
        <f>COUNTIFS(PlayData!$O:$O, "Pass Attempt", PlayData!$L:$L,TeamEff!D$1,PlayData!$AC:$AC, "Catch")</f>
        <v>14</v>
      </c>
      <c r="E26">
        <f>COUNTIFS(PlayData!$O:$O, "Pass Attempt", PlayData!$L:$L,TeamEff!E$1,PlayData!$AC:$AC, "Catch")</f>
        <v>1</v>
      </c>
    </row>
    <row r="27" spans="1:5" x14ac:dyDescent="0.5">
      <c r="A27" s="3" t="s">
        <v>98</v>
      </c>
      <c r="B27">
        <f>COUNTIFS(PlayData!$O:$O, "Pass Attempt", PlayData!$L:$L,TeamEff!B$1,PlayData!$AC:$AC, "Drop")</f>
        <v>3</v>
      </c>
      <c r="C27">
        <f>COUNTIFS(PlayData!$O:$O, "Pass Attempt", PlayData!$L:$L,TeamEff!C$1,PlayData!$AC:$AC, "Drop")</f>
        <v>1</v>
      </c>
      <c r="D27">
        <f>COUNTIFS(PlayData!$O:$O, "Pass Attempt", PlayData!$L:$L,TeamEff!D$1,PlayData!$AC:$AC, "Drop")</f>
        <v>1</v>
      </c>
      <c r="E27">
        <f>COUNTIFS(PlayData!$O:$O, "Pass Attempt", PlayData!$L:$L,TeamEff!E$1,PlayData!$AC:$AC, "Drop")</f>
        <v>0</v>
      </c>
    </row>
    <row r="28" spans="1:5" x14ac:dyDescent="0.5">
      <c r="A28" s="3" t="s">
        <v>114</v>
      </c>
      <c r="B28">
        <f>SUMIFS(PlayData!$AA:$AA,PlayData!$O:$O, "Pass Attempt", PlayData!$L:$L,TeamEff!B$1)</f>
        <v>197</v>
      </c>
      <c r="C28">
        <f>SUMIFS(PlayData!$AA:$AA,PlayData!$O:$O, "Pass Attempt", PlayData!$L:$L,TeamEff!C$1)</f>
        <v>167</v>
      </c>
      <c r="D28">
        <f>SUMIFS(PlayData!$AA:$AA,PlayData!$O:$O, "Pass Attempt", PlayData!$L:$L,TeamEff!D$1)</f>
        <v>155</v>
      </c>
      <c r="E28">
        <f>SUMIFS(PlayData!$AA:$AA,PlayData!$O:$O, "Pass Attempt", PlayData!$L:$L,TeamEff!E$1)</f>
        <v>4</v>
      </c>
    </row>
    <row r="29" spans="1:5" x14ac:dyDescent="0.5">
      <c r="A29" s="3" t="s">
        <v>126</v>
      </c>
      <c r="B29">
        <f>COUNTIFS(PlayData!$O:$O, "Pass Attempt", PlayData!$L:$L,TeamEff!B$1,PlayData!$AG:$AG, "Y")</f>
        <v>5</v>
      </c>
      <c r="C29">
        <f>COUNTIFS(PlayData!$O:$O, "Pass Attempt", PlayData!$L:$L,TeamEff!C$1,PlayData!$AG:$AG, "Y")</f>
        <v>13</v>
      </c>
      <c r="D29">
        <f>COUNTIFS(PlayData!$O:$O, "Pass Attempt", PlayData!$L:$L,TeamEff!D$1,PlayData!$AG:$AG, "Y")</f>
        <v>10</v>
      </c>
      <c r="E29">
        <f>COUNTIFS(PlayData!$O:$O, "Pass Attempt", PlayData!$L:$L,TeamEff!E$1,PlayData!$AG:$AG, "Y")</f>
        <v>1</v>
      </c>
    </row>
    <row r="30" spans="1:5" x14ac:dyDescent="0.5">
      <c r="A30" s="3" t="s">
        <v>50</v>
      </c>
      <c r="B30">
        <f>COUNTIFS(PlayData!$O:$O, "Sack", PlayData!$L:$L,TeamEff!B$1)</f>
        <v>1</v>
      </c>
      <c r="C30">
        <f>COUNTIFS(PlayData!$O:$O, "Sack", PlayData!$L:$L,TeamEff!C$1)</f>
        <v>3</v>
      </c>
      <c r="D30">
        <f>COUNTIFS(PlayData!$O:$O, "Sack", PlayData!$L:$L,TeamEff!D$1)</f>
        <v>3</v>
      </c>
      <c r="E30">
        <f>COUNTIFS(PlayData!$O:$O, "Sack", PlayData!$L:$L,TeamEff!E$1)</f>
        <v>1</v>
      </c>
    </row>
    <row r="31" spans="1:5" x14ac:dyDescent="0.5">
      <c r="A31" s="3" t="s">
        <v>122</v>
      </c>
      <c r="B31">
        <f>SUMIFS(PlayData!$AA:$AA,PlayData!$O:$O, "Sack", PlayData!$L:$L,TeamEff!B$1)</f>
        <v>-6</v>
      </c>
      <c r="C31">
        <f>SUMIFS(PlayData!$AA:$AA,PlayData!$O:$O, "Sack", PlayData!$L:$L,TeamEff!C$1)</f>
        <v>-20</v>
      </c>
      <c r="D31">
        <f>SUMIFS(PlayData!$AA:$AA,PlayData!$O:$O, "Sack", PlayData!$L:$L,TeamEff!D$1)</f>
        <v>-13</v>
      </c>
      <c r="E31">
        <f>SUMIFS(PlayData!$AA:$AA,PlayData!$O:$O, "Sack", PlayData!$L:$L,TeamEff!E$1)</f>
        <v>-14</v>
      </c>
    </row>
    <row r="32" spans="1:5" x14ac:dyDescent="0.5">
      <c r="A32" s="3" t="s">
        <v>123</v>
      </c>
      <c r="B32">
        <f>COUNTIFS(PlayData!$O:$O, "QB Scramble", PlayData!$L:$L,TeamEff!B$1)</f>
        <v>1</v>
      </c>
      <c r="C32">
        <f>COUNTIFS(PlayData!$O:$O, "QB Scramble", PlayData!$L:$L,TeamEff!C$1)</f>
        <v>4</v>
      </c>
      <c r="D32">
        <f>COUNTIFS(PlayData!$O:$O, "QB Scramble", PlayData!$L:$L,TeamEff!D$1)</f>
        <v>2</v>
      </c>
      <c r="E32">
        <f>COUNTIFS(PlayData!$O:$O, "QB Scramble", PlayData!$L:$L,TeamEff!E$1)</f>
        <v>1</v>
      </c>
    </row>
    <row r="33" spans="1:5" x14ac:dyDescent="0.5">
      <c r="A33" s="3" t="s">
        <v>124</v>
      </c>
      <c r="B33">
        <f>SUMIFS(PlayData!$AA:$AA,PlayData!$O:$O, "QB Scramble", PlayData!$L:$L,TeamEff!B$1)</f>
        <v>1</v>
      </c>
      <c r="C33">
        <f>SUMIFS(PlayData!$AA:$AA,PlayData!$O:$O, "QB Scramble", PlayData!$L:$L,TeamEff!C$1)</f>
        <v>40</v>
      </c>
      <c r="D33">
        <f>SUMIFS(PlayData!$AA:$AA,PlayData!$O:$O, "QB Scramble", PlayData!$L:$L,TeamEff!D$1)</f>
        <v>3</v>
      </c>
      <c r="E33">
        <f>SUMIFS(PlayData!$AA:$AA,PlayData!$O:$O, "QB Scramble", PlayData!$L:$L,TeamEff!E$1)</f>
        <v>3</v>
      </c>
    </row>
    <row r="34" spans="1:5" x14ac:dyDescent="0.5">
      <c r="A34" s="3" t="s">
        <v>127</v>
      </c>
      <c r="B34">
        <f>COUNTIFS(PlayData!$O:$O, "QB Scramble", PlayData!$L:$L,TeamEff!B$1,PlayData!$AG:$AG, "Y")</f>
        <v>0</v>
      </c>
      <c r="C34">
        <f>COUNTIFS(PlayData!$O:$O, "QB Scramble", PlayData!$L:$L,TeamEff!C$1,PlayData!$AG:$AG, "Y")</f>
        <v>3</v>
      </c>
      <c r="D34">
        <f>COUNTIFS(PlayData!$O:$O, "QB Scramble", PlayData!$L:$L,TeamEff!D$1,PlayData!$AG:$AG, "Y")</f>
        <v>0</v>
      </c>
      <c r="E34">
        <f>COUNTIFS(PlayData!$O:$O, "QB Scramble", PlayData!$L:$L,TeamEff!E$1,PlayData!$AG:$AG, "Y")</f>
        <v>0</v>
      </c>
    </row>
    <row r="35" spans="1:5" x14ac:dyDescent="0.5">
      <c r="A35" s="3" t="s">
        <v>190</v>
      </c>
      <c r="B35">
        <f>SUM(B$29,B$34)</f>
        <v>5</v>
      </c>
      <c r="C35">
        <f t="shared" ref="C35:E35" si="1">SUM(C$29,C$34)</f>
        <v>16</v>
      </c>
      <c r="D35">
        <f t="shared" si="1"/>
        <v>10</v>
      </c>
      <c r="E35">
        <f t="shared" si="1"/>
        <v>1</v>
      </c>
    </row>
    <row r="37" spans="1:5" x14ac:dyDescent="0.5">
      <c r="A37" s="3" t="s">
        <v>178</v>
      </c>
      <c r="B37">
        <f>COUNTIFS(PlayData!$L:$L, B$1, PlayData!$O:$O, "Penalty")</f>
        <v>7</v>
      </c>
      <c r="C37">
        <f>COUNTIFS(PlayData!$L:$L, C$1, PlayData!$O:$O, "Penalty")</f>
        <v>2</v>
      </c>
      <c r="D37">
        <f>COUNTIFS(PlayData!$L:$L, D$1, PlayData!$O:$O, "Penalty")</f>
        <v>6</v>
      </c>
      <c r="E37">
        <f>COUNTIFS(PlayData!$L:$L, E$1, PlayData!$O:$O, "Penalty")</f>
        <v>0</v>
      </c>
    </row>
    <row r="38" spans="1:5" x14ac:dyDescent="0.5">
      <c r="A38" s="3" t="s">
        <v>179</v>
      </c>
      <c r="B38">
        <f>SUMIFS(PlayData!$AA:$AA, PlayData!$L:$L, B$1, PlayData!$O:$O, "Penalty")</f>
        <v>10</v>
      </c>
      <c r="C38">
        <f>SUMIFS(PlayData!$AA:$AA, PlayData!$L:$L, C$1, PlayData!$O:$O, "Penalty")</f>
        <v>-6</v>
      </c>
      <c r="D38">
        <f>SUMIFS(PlayData!$AA:$AA, PlayData!$L:$L, D$1, PlayData!$O:$O, "Penalty")</f>
        <v>47</v>
      </c>
      <c r="E38">
        <f>SUMIFS(PlayData!$AA:$AA, PlayData!$L:$L, E$1, PlayData!$O:$O, "Penalty")</f>
        <v>0</v>
      </c>
    </row>
    <row r="39" spans="1:5" x14ac:dyDescent="0.5">
      <c r="A39" s="3" t="s">
        <v>117</v>
      </c>
      <c r="B39">
        <f>COUNTIFS(PlayData!$AG:$AG, "Y", PlayData!$O:$O, "Penalty",PlayData!$L:$L,TeamEff!B$1)</f>
        <v>3</v>
      </c>
      <c r="C39">
        <f>COUNTIFS(PlayData!$AG:$AG, "Y", PlayData!$O:$O, "Penalty",PlayData!$L:$L,TeamEff!C$1)</f>
        <v>0</v>
      </c>
      <c r="D39">
        <f>COUNTIFS(PlayData!$AG:$AG, "Y", PlayData!$O:$O, "Penalty",PlayData!$L:$L,TeamEff!D$1)</f>
        <v>4</v>
      </c>
      <c r="E39">
        <f>COUNTIFS(PlayData!$AG:$AG, "Y", PlayData!$O:$O, "Penalty",PlayData!$L:$L,TeamEff!E$1)</f>
        <v>0</v>
      </c>
    </row>
    <row r="43" spans="1:5" x14ac:dyDescent="0.5">
      <c r="A43" s="3" t="s">
        <v>146</v>
      </c>
      <c r="B43">
        <f>COUNTIFS(PlayData!$L:$L, B$1, PlayData!$O:$O, "Run-BadSnap")</f>
        <v>1</v>
      </c>
      <c r="C43">
        <f>COUNTIFS(PlayData!$L:$L, C$1, PlayData!$O:$O, "Run-BadSnap")</f>
        <v>2</v>
      </c>
      <c r="D43">
        <f>COUNTIFS(PlayData!$L:$L, D$1, PlayData!$O:$O, "Run-BadSnap")</f>
        <v>0</v>
      </c>
      <c r="E43">
        <f>COUNTIFS(PlayData!$L:$L, E$1, PlayData!$O:$O, "Run-BadSnap")</f>
        <v>0</v>
      </c>
    </row>
    <row r="44" spans="1:5" x14ac:dyDescent="0.5">
      <c r="A44" s="3" t="s">
        <v>148</v>
      </c>
      <c r="B44">
        <f>SUMIFS(PlayData!$AA:$AA, PlayData!$L:$L, B$1, PlayData!$O:$O, "Run-BadSnap")</f>
        <v>-3</v>
      </c>
      <c r="C44">
        <f>SUMIFS(PlayData!$AA:$AA, PlayData!$L:$L, C$1, PlayData!$O:$O, "Run-BadSnap")</f>
        <v>-5</v>
      </c>
      <c r="D44">
        <f>SUMIFS(PlayData!$AA:$AA, PlayData!$L:$L, D$1, PlayData!$O:$O, "Run-BadSnap")</f>
        <v>0</v>
      </c>
      <c r="E44">
        <f>SUMIFS(PlayData!$AA:$AA, PlayData!$L:$L, E$1, PlayData!$O:$O, "Run-BadSnap")</f>
        <v>0</v>
      </c>
    </row>
    <row r="45" spans="1:5" x14ac:dyDescent="0.5">
      <c r="A45" s="3" t="s">
        <v>177</v>
      </c>
      <c r="B45">
        <f>COUNTIFS(PlayData!$L:$L, B$1, PlayData!$O:$O, "Run-BadSnap", PlayData!$AB:$AB, "Fumble Lost")</f>
        <v>0</v>
      </c>
      <c r="C45">
        <f>COUNTIFS(PlayData!$L:$L, C$1, PlayData!$O:$O, "Run-BadSnap", PlayData!$AB:$AB, "Fumble Lost")</f>
        <v>1</v>
      </c>
      <c r="D45">
        <f>COUNTIFS(PlayData!$L:$L, D$1, PlayData!$O:$O, "Run-BadSnap", PlayData!$AB:$AB, "Fumble Lost")</f>
        <v>0</v>
      </c>
      <c r="E45">
        <f>COUNTIFS(PlayData!$L:$L, E$1, PlayData!$O:$O, "Run-BadSnap", PlayData!$AB:$AB, "Fumble Lost")</f>
        <v>0</v>
      </c>
    </row>
    <row r="49" spans="1:5" x14ac:dyDescent="0.5">
      <c r="A49" s="3" t="s">
        <v>128</v>
      </c>
      <c r="B49" t="s">
        <v>129</v>
      </c>
      <c r="C49" t="s">
        <v>130</v>
      </c>
      <c r="D49" t="s">
        <v>131</v>
      </c>
      <c r="E49" t="s">
        <v>182</v>
      </c>
    </row>
    <row r="50" spans="1:5" x14ac:dyDescent="0.5">
      <c r="A50" s="3" t="s">
        <v>180</v>
      </c>
      <c r="B50">
        <f>COUNTIFS(PlayData!L:L, "3",PlayData!M:M, "&lt;=3")</f>
        <v>11</v>
      </c>
      <c r="C50">
        <f>COUNTIFS(PlayData!L:L,"3",PlayData!M:M,"&lt;=6",PlayData!M:M,"&gt;=4")</f>
        <v>10</v>
      </c>
      <c r="D50">
        <f>COUNTIFS(PlayData!L:L,"3",PlayData!M:M,"&gt;=7")</f>
        <v>20</v>
      </c>
    </row>
    <row r="51" spans="1:5" x14ac:dyDescent="0.5">
      <c r="A51" s="3" t="s">
        <v>178</v>
      </c>
      <c r="B51">
        <f>COUNTIFS(PlayData!L:L, "3",PlayData!M:M, "&lt;=3", PlayData!$O:$O, "Penalty")</f>
        <v>1</v>
      </c>
      <c r="C51">
        <f>COUNTIFS(PlayData!L:L,"3",PlayData!M:M,"&lt;=6",PlayData!M:M,"&gt;=4",PlayData!$O:$O, "Penalty")</f>
        <v>1</v>
      </c>
      <c r="D51">
        <f>COUNTIFS(PlayData!L:L,"3",PlayData!M:M,"&gt;=7",PlayData!$O:$O, "Penalty")</f>
        <v>4</v>
      </c>
    </row>
    <row r="52" spans="1:5" x14ac:dyDescent="0.5">
      <c r="A52" s="3" t="s">
        <v>181</v>
      </c>
      <c r="B52">
        <f>COUNTIFS(PlayData!L:L, "3",PlayData!M:M, "&lt;=3", PlayData!$O:$O, "Penalty", PlayData!$AG:$AG, "Y")</f>
        <v>0</v>
      </c>
      <c r="C52">
        <f>COUNTIFS(PlayData!L:L,"3",PlayData!M:M,"&lt;=6",PlayData!M:M,"&gt;=4",PlayData!$AG:$AG, "Y",PlayData!$O:$O, "Penalty")</f>
        <v>1</v>
      </c>
      <c r="D52">
        <f>COUNTIFS(PlayData!L:L,"3",PlayData!M:M,"&gt;=7",PlayData!$O:$O, "Penalty",PlayData!$AG:$AG, "Y")</f>
        <v>3</v>
      </c>
    </row>
    <row r="53" spans="1:5" x14ac:dyDescent="0.5">
      <c r="A53" s="3" t="s">
        <v>147</v>
      </c>
      <c r="B53">
        <f t="shared" ref="B53:C53" si="2">B$50-B$52</f>
        <v>11</v>
      </c>
      <c r="C53">
        <f t="shared" si="2"/>
        <v>9</v>
      </c>
      <c r="D53">
        <f>D$50-D$52</f>
        <v>17</v>
      </c>
      <c r="E53">
        <f>SUM(B53:D53)</f>
        <v>37</v>
      </c>
    </row>
    <row r="54" spans="1:5" x14ac:dyDescent="0.5">
      <c r="A54" s="3" t="s">
        <v>117</v>
      </c>
      <c r="B54">
        <f>COUNTIFS(PlayData!L:L, "3",PlayData!M:M, "&lt;=3", PlayData!$AG:$AG, "Y")</f>
        <v>6</v>
      </c>
      <c r="C54">
        <f>COUNTIFS(PlayData!L:L,"3",PlayData!M:M,"&lt;=6",PlayData!M:M,"&gt;=4", PlayData!$AG:$AG, "Y")</f>
        <v>6</v>
      </c>
      <c r="D54">
        <f>COUNTIFS(PlayData!L:L,"3",PlayData!M:M,"&gt;=7",PlayData!$AG:$AG, "Y")</f>
        <v>6</v>
      </c>
    </row>
    <row r="55" spans="1:5" x14ac:dyDescent="0.5">
      <c r="A55" s="3" t="s">
        <v>183</v>
      </c>
      <c r="B55">
        <f t="shared" ref="B55:C55" si="3">B$54/B$50</f>
        <v>0.54545454545454541</v>
      </c>
      <c r="C55">
        <f t="shared" si="3"/>
        <v>0.6</v>
      </c>
      <c r="D55">
        <f>D$54/D$50</f>
        <v>0.3</v>
      </c>
    </row>
    <row r="56" spans="1:5" x14ac:dyDescent="0.5">
      <c r="A56" s="3" t="s">
        <v>136</v>
      </c>
      <c r="B56">
        <f>COUNTIFS(PlayData!L:L, "3",PlayData!M:M, "&lt;=3", PlayData!$O:$O, "Run")</f>
        <v>2</v>
      </c>
      <c r="C56">
        <f>COUNTIFS(PlayData!L:L,"3",PlayData!M:M,"&lt;=6",PlayData!M:M,"&gt;=4", PlayData!O:O, "Run")</f>
        <v>1</v>
      </c>
      <c r="D56">
        <f>COUNTIFS(PlayData!L:L,"3",PlayData!M:M,"&gt;=7", PlayData!O:O, "Run")</f>
        <v>7</v>
      </c>
    </row>
    <row r="57" spans="1:5" x14ac:dyDescent="0.5">
      <c r="A57" s="3" t="s">
        <v>184</v>
      </c>
      <c r="B57">
        <f>COUNTIFS(PlayData!L:L, "3",PlayData!M:M, "&lt;=3", PlayData!$O:$O, "Pass Attempt")</f>
        <v>6</v>
      </c>
      <c r="C57">
        <f>COUNTIFS(PlayData!L:L,"3",PlayData!M:M,"&lt;=6",PlayData!M:M,"&gt;=4", PlayData!$O:$O, "Pass Attempt")</f>
        <v>8</v>
      </c>
      <c r="D57">
        <f>COUNTIFS(PlayData!L:L,"3",PlayData!M:M,"&gt;=7", PlayData!O:O, "Pass Attempt")</f>
        <v>6</v>
      </c>
    </row>
    <row r="58" spans="1:5" x14ac:dyDescent="0.5">
      <c r="A58" s="3" t="s">
        <v>50</v>
      </c>
      <c r="B58">
        <f>COUNTIFS(PlayData!L:L, "3",PlayData!M:M, "&lt;=3", PlayData!$O:$O, "Sack")</f>
        <v>1</v>
      </c>
      <c r="C58">
        <f>COUNTIFS(PlayData!L:L,"3",PlayData!M:M,"&lt;=6",PlayData!M:M,"&gt;=4", PlayData!$O:$O, "Sack")</f>
        <v>0</v>
      </c>
      <c r="D58">
        <f>COUNTIFS(PlayData!L:L,"3",PlayData!M:M,"&gt;=7", PlayData!O:O, "Sack")</f>
        <v>2</v>
      </c>
    </row>
    <row r="59" spans="1:5" x14ac:dyDescent="0.5">
      <c r="A59" s="3" t="s">
        <v>185</v>
      </c>
      <c r="B59">
        <f>COUNTIFS(PlayData!L:L, "3",PlayData!M:M, "&lt;=3", PlayData!$O:$O, "QB Scramble")</f>
        <v>1</v>
      </c>
      <c r="C59">
        <f>COUNTIFS(PlayData!L:L,"3",PlayData!M:M,"&lt;=6",PlayData!M:M,"&gt;=4", PlayData!$O:$O, "QB Scramble")</f>
        <v>0</v>
      </c>
      <c r="D59">
        <f>COUNTIFS(PlayData!L:L,"3",PlayData!M:M,"&gt;=7", PlayData!O:O, "QB Scramble")</f>
        <v>1</v>
      </c>
    </row>
    <row r="60" spans="1:5" x14ac:dyDescent="0.5">
      <c r="A60" s="3" t="s">
        <v>186</v>
      </c>
      <c r="B60">
        <f>SUM(B$57:B$59)</f>
        <v>8</v>
      </c>
      <c r="C60">
        <f t="shared" ref="C60:D60" si="4">SUM(C$57:C$59)</f>
        <v>8</v>
      </c>
      <c r="D60">
        <f t="shared" si="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PlayData</vt:lpstr>
      <vt:lpstr>PassingData</vt:lpstr>
      <vt:lpstr>RunningData</vt:lpstr>
      <vt:lpstr>ReceivingData</vt:lpstr>
      <vt:lpstr>TeamEff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Drezdan Dale</dc:creator>
  <cp:lastModifiedBy>Drezdan Dale</cp:lastModifiedBy>
  <dcterms:created xsi:type="dcterms:W3CDTF">2021-03-12T06:07:12Z</dcterms:created>
  <dcterms:modified xsi:type="dcterms:W3CDTF">2022-04-12T15:32:33Z</dcterms:modified>
</cp:coreProperties>
</file>