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z_\Desktop\"/>
    </mc:Choice>
  </mc:AlternateContent>
  <xr:revisionPtr revIDLastSave="0" documentId="8_{BC72B045-1BB2-4575-ADF4-C5628FE0BBEC}" xr6:coauthVersionLast="47" xr6:coauthVersionMax="47" xr10:uidLastSave="{00000000-0000-0000-0000-000000000000}"/>
  <bookViews>
    <workbookView xWindow="-93" yWindow="-93" windowWidth="25786" windowHeight="13986" xr2:uid="{D01A7986-981B-43A6-AB7A-9FCD80A66E2A}"/>
  </bookViews>
  <sheets>
    <sheet name="PlayData" sheetId="1" r:id="rId1"/>
    <sheet name="PassingData" sheetId="2" r:id="rId2"/>
    <sheet name="qb_targs" sheetId="6" r:id="rId3"/>
    <sheet name="RunningData" sheetId="3" r:id="rId4"/>
    <sheet name="ReceivingData" sheetId="4" r:id="rId5"/>
    <sheet name="TeamEff" sheetId="5" r:id="rId6"/>
  </sheets>
  <definedNames>
    <definedName name="_xlnm._FilterDatabase" localSheetId="0" hidden="1">PlayData!$A$1:$AE$210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6" i="1" l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N2" i="2"/>
  <c r="M2" i="2"/>
  <c r="AX2" i="2"/>
  <c r="AC172" i="1"/>
  <c r="AB172" i="1"/>
  <c r="AC171" i="1"/>
  <c r="AB171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51" i="1"/>
  <c r="AB150" i="1"/>
  <c r="AB149" i="1"/>
  <c r="AB148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W138" i="1"/>
  <c r="AC130" i="1"/>
  <c r="AC131" i="1"/>
  <c r="AC132" i="1"/>
  <c r="AB129" i="1"/>
  <c r="AB130" i="1"/>
  <c r="AB131" i="1"/>
  <c r="AB132" i="1"/>
  <c r="AD130" i="1"/>
  <c r="AD120" i="1"/>
  <c r="AD121" i="1"/>
  <c r="AD122" i="1"/>
  <c r="AD123" i="1"/>
  <c r="AD124" i="1"/>
  <c r="AD125" i="1"/>
  <c r="AD126" i="1"/>
  <c r="AD127" i="1"/>
  <c r="AD128" i="1"/>
  <c r="AD129" i="1"/>
  <c r="AC120" i="1"/>
  <c r="AC121" i="1"/>
  <c r="AC122" i="1"/>
  <c r="AC123" i="1"/>
  <c r="AC124" i="1"/>
  <c r="AC125" i="1"/>
  <c r="AC126" i="1"/>
  <c r="AC127" i="1"/>
  <c r="AC128" i="1"/>
  <c r="AC129" i="1"/>
  <c r="AB128" i="1"/>
  <c r="AB127" i="1"/>
  <c r="AB126" i="1"/>
  <c r="AB125" i="1"/>
  <c r="AB124" i="1"/>
  <c r="AB123" i="1"/>
  <c r="AB122" i="1"/>
  <c r="AB121" i="1"/>
  <c r="AB120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C112" i="1"/>
  <c r="AD11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D98" i="1"/>
  <c r="AC98" i="1"/>
  <c r="AB98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D87" i="1"/>
  <c r="AD88" i="1"/>
  <c r="AD89" i="1"/>
  <c r="AC88" i="1"/>
  <c r="AC89" i="1"/>
  <c r="AC87" i="1"/>
  <c r="AB87" i="1"/>
  <c r="AB88" i="1"/>
  <c r="AB89" i="1"/>
  <c r="AD77" i="1"/>
  <c r="AD78" i="1"/>
  <c r="AD79" i="1"/>
  <c r="AD80" i="1"/>
  <c r="AD81" i="1"/>
  <c r="AD82" i="1"/>
  <c r="AD83" i="1"/>
  <c r="AD84" i="1"/>
  <c r="AD85" i="1"/>
  <c r="AD86" i="1"/>
  <c r="AC77" i="1"/>
  <c r="AC78" i="1"/>
  <c r="AC79" i="1"/>
  <c r="AC80" i="1"/>
  <c r="AC81" i="1"/>
  <c r="AC82" i="1"/>
  <c r="AC83" i="1"/>
  <c r="AC84" i="1"/>
  <c r="AC85" i="1"/>
  <c r="AC86" i="1"/>
  <c r="AB77" i="1"/>
  <c r="AB78" i="1"/>
  <c r="AB79" i="1"/>
  <c r="AB80" i="1"/>
  <c r="AB81" i="1"/>
  <c r="AB82" i="1"/>
  <c r="AB83" i="1"/>
  <c r="AB84" i="1"/>
  <c r="AB85" i="1"/>
  <c r="AB86" i="1"/>
  <c r="G2" i="3"/>
  <c r="G3" i="3"/>
  <c r="G4" i="3"/>
  <c r="G5" i="3"/>
  <c r="G6" i="3"/>
  <c r="G7" i="3"/>
  <c r="BF2" i="2"/>
  <c r="B28" i="5"/>
  <c r="C28" i="5"/>
  <c r="D28" i="5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2" i="1"/>
  <c r="AC2" i="1"/>
  <c r="AD2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C5" i="5"/>
  <c r="D5" i="5"/>
  <c r="E5" i="5"/>
  <c r="B5" i="5"/>
  <c r="C7" i="4"/>
  <c r="D7" i="4"/>
  <c r="E7" i="4"/>
  <c r="F7" i="4"/>
  <c r="G7" i="4"/>
  <c r="H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C8" i="4"/>
  <c r="D8" i="4"/>
  <c r="E8" i="4"/>
  <c r="F8" i="4"/>
  <c r="G8" i="4"/>
  <c r="H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D59" i="5"/>
  <c r="D58" i="5"/>
  <c r="D57" i="5"/>
  <c r="D56" i="5"/>
  <c r="B59" i="5"/>
  <c r="B58" i="5"/>
  <c r="B57" i="5"/>
  <c r="C59" i="5"/>
  <c r="C58" i="5"/>
  <c r="C57" i="5"/>
  <c r="C56" i="5"/>
  <c r="B56" i="5"/>
  <c r="D50" i="5"/>
  <c r="C50" i="5"/>
  <c r="B50" i="5"/>
  <c r="D51" i="5"/>
  <c r="C51" i="5"/>
  <c r="B52" i="5"/>
  <c r="B51" i="5"/>
  <c r="E11" i="5"/>
  <c r="D11" i="5"/>
  <c r="C11" i="5"/>
  <c r="B11" i="5"/>
  <c r="C38" i="5"/>
  <c r="D38" i="5"/>
  <c r="E38" i="5"/>
  <c r="B38" i="5"/>
  <c r="B12" i="5"/>
  <c r="C37" i="5"/>
  <c r="D37" i="5"/>
  <c r="E37" i="5"/>
  <c r="B37" i="5"/>
  <c r="B43" i="5"/>
  <c r="C45" i="5"/>
  <c r="D45" i="5"/>
  <c r="E45" i="5"/>
  <c r="B45" i="5"/>
  <c r="C44" i="5"/>
  <c r="D44" i="5"/>
  <c r="E44" i="5"/>
  <c r="B44" i="5"/>
  <c r="C43" i="5"/>
  <c r="D43" i="5"/>
  <c r="E43" i="5"/>
  <c r="C27" i="5"/>
  <c r="D27" i="5"/>
  <c r="E27" i="5"/>
  <c r="B27" i="5"/>
  <c r="B26" i="5"/>
  <c r="C26" i="5"/>
  <c r="D26" i="5"/>
  <c r="E26" i="5"/>
  <c r="B25" i="5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N6" i="4"/>
  <c r="M6" i="4"/>
  <c r="H6" i="4"/>
  <c r="G6" i="4"/>
  <c r="F6" i="4"/>
  <c r="E6" i="4"/>
  <c r="D6" i="4"/>
  <c r="C6" i="4"/>
  <c r="C3" i="4"/>
  <c r="C4" i="4"/>
  <c r="C5" i="4"/>
  <c r="B53" i="5" l="1"/>
  <c r="J8" i="4"/>
  <c r="I8" i="4"/>
  <c r="J7" i="4"/>
  <c r="I7" i="4"/>
  <c r="B60" i="5"/>
  <c r="D60" i="5"/>
  <c r="C60" i="5"/>
  <c r="I6" i="4"/>
  <c r="J6" i="4"/>
  <c r="K7" i="4"/>
  <c r="L7" i="4" s="1"/>
  <c r="E34" i="5"/>
  <c r="B34" i="5"/>
  <c r="E28" i="5"/>
  <c r="C31" i="5"/>
  <c r="D31" i="5"/>
  <c r="E31" i="5"/>
  <c r="B31" i="5"/>
  <c r="B33" i="5"/>
  <c r="C33" i="5"/>
  <c r="D33" i="5"/>
  <c r="E33" i="5"/>
  <c r="B32" i="5"/>
  <c r="C32" i="5"/>
  <c r="D32" i="5"/>
  <c r="E32" i="5"/>
  <c r="C30" i="5"/>
  <c r="D30" i="5"/>
  <c r="E30" i="5"/>
  <c r="B30" i="5"/>
  <c r="C25" i="5"/>
  <c r="D25" i="5"/>
  <c r="E25" i="5"/>
  <c r="C12" i="5"/>
  <c r="D12" i="5"/>
  <c r="D13" i="5" s="1"/>
  <c r="E12" i="5"/>
  <c r="C3" i="5"/>
  <c r="D3" i="5"/>
  <c r="E3" i="5"/>
  <c r="B3" i="5"/>
  <c r="B13" i="5"/>
  <c r="C2" i="5"/>
  <c r="C4" i="5" s="1"/>
  <c r="D2" i="5"/>
  <c r="D4" i="5" s="1"/>
  <c r="E2" i="5"/>
  <c r="E4" i="5" s="1"/>
  <c r="B2" i="5"/>
  <c r="B4" i="5" s="1"/>
  <c r="AZ3" i="4"/>
  <c r="AZ4" i="4"/>
  <c r="AZ5" i="4"/>
  <c r="AY3" i="4"/>
  <c r="AY4" i="4"/>
  <c r="AY5" i="4"/>
  <c r="AX3" i="4"/>
  <c r="AX4" i="4"/>
  <c r="AX5" i="4"/>
  <c r="AW3" i="4"/>
  <c r="AW4" i="4"/>
  <c r="AW5" i="4"/>
  <c r="AV3" i="4"/>
  <c r="AV4" i="4"/>
  <c r="AV5" i="4"/>
  <c r="AU3" i="4"/>
  <c r="AU4" i="4"/>
  <c r="AU5" i="4"/>
  <c r="AT3" i="4"/>
  <c r="AT4" i="4"/>
  <c r="AT5" i="4"/>
  <c r="AS3" i="4"/>
  <c r="AS4" i="4"/>
  <c r="AS5" i="4"/>
  <c r="AR3" i="4"/>
  <c r="AR4" i="4"/>
  <c r="AR5" i="4"/>
  <c r="AQ3" i="4"/>
  <c r="AQ4" i="4"/>
  <c r="AQ5" i="4"/>
  <c r="AP3" i="4"/>
  <c r="AP4" i="4"/>
  <c r="AP5" i="4"/>
  <c r="AO3" i="4"/>
  <c r="AO4" i="4"/>
  <c r="AO5" i="4"/>
  <c r="AN3" i="4"/>
  <c r="AN4" i="4"/>
  <c r="AN5" i="4"/>
  <c r="AM3" i="4"/>
  <c r="AM4" i="4"/>
  <c r="AM5" i="4"/>
  <c r="AL3" i="4"/>
  <c r="AL4" i="4"/>
  <c r="AL5" i="4"/>
  <c r="AK3" i="4"/>
  <c r="AK4" i="4"/>
  <c r="AK5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G3" i="4"/>
  <c r="AG4" i="4"/>
  <c r="AG5" i="4"/>
  <c r="AG2" i="4"/>
  <c r="AF2" i="4"/>
  <c r="C2" i="4"/>
  <c r="AF3" i="4"/>
  <c r="AF4" i="4"/>
  <c r="AF5" i="4"/>
  <c r="D2" i="4"/>
  <c r="AE3" i="4"/>
  <c r="AE4" i="4"/>
  <c r="AE5" i="4"/>
  <c r="AD3" i="4"/>
  <c r="AD4" i="4"/>
  <c r="AD5" i="4"/>
  <c r="AC3" i="4"/>
  <c r="AC4" i="4"/>
  <c r="AC5" i="4"/>
  <c r="AE2" i="4"/>
  <c r="AD2" i="4"/>
  <c r="AC2" i="4"/>
  <c r="Z2" i="4"/>
  <c r="S2" i="4"/>
  <c r="AB3" i="4"/>
  <c r="AB4" i="4"/>
  <c r="AB5" i="4"/>
  <c r="AA3" i="4"/>
  <c r="AA4" i="4"/>
  <c r="AA5" i="4"/>
  <c r="Z3" i="4"/>
  <c r="Z4" i="4"/>
  <c r="Z5" i="4"/>
  <c r="AB2" i="4"/>
  <c r="AA2" i="4"/>
  <c r="W2" i="4"/>
  <c r="R2" i="4"/>
  <c r="Y3" i="4"/>
  <c r="Y4" i="4"/>
  <c r="Y5" i="4"/>
  <c r="X3" i="4"/>
  <c r="X4" i="4"/>
  <c r="X5" i="4"/>
  <c r="Y2" i="4"/>
  <c r="X2" i="4"/>
  <c r="W3" i="4"/>
  <c r="W4" i="4"/>
  <c r="W5" i="4"/>
  <c r="T2" i="4"/>
  <c r="Q2" i="4"/>
  <c r="V3" i="4"/>
  <c r="V4" i="4"/>
  <c r="V5" i="4"/>
  <c r="U3" i="4"/>
  <c r="U4" i="4"/>
  <c r="U5" i="4"/>
  <c r="V2" i="4"/>
  <c r="U2" i="4"/>
  <c r="T3" i="4"/>
  <c r="T4" i="4"/>
  <c r="T5" i="4"/>
  <c r="P2" i="4"/>
  <c r="S3" i="4"/>
  <c r="S4" i="4"/>
  <c r="S5" i="4"/>
  <c r="R3" i="4"/>
  <c r="R4" i="4"/>
  <c r="R5" i="4"/>
  <c r="Q3" i="4"/>
  <c r="Q4" i="4"/>
  <c r="Q5" i="4"/>
  <c r="P3" i="4"/>
  <c r="P4" i="4"/>
  <c r="P5" i="4"/>
  <c r="N3" i="4"/>
  <c r="N4" i="4"/>
  <c r="N5" i="4"/>
  <c r="N2" i="4"/>
  <c r="M2" i="4"/>
  <c r="M3" i="4"/>
  <c r="M4" i="4"/>
  <c r="M5" i="4"/>
  <c r="K4" i="4"/>
  <c r="K5" i="4"/>
  <c r="K2" i="4"/>
  <c r="H3" i="4"/>
  <c r="H4" i="4"/>
  <c r="H5" i="4"/>
  <c r="H2" i="4"/>
  <c r="G2" i="4"/>
  <c r="G3" i="4"/>
  <c r="G4" i="4"/>
  <c r="G5" i="4"/>
  <c r="F3" i="4"/>
  <c r="F4" i="4"/>
  <c r="F5" i="4"/>
  <c r="F2" i="4"/>
  <c r="E3" i="4"/>
  <c r="E4" i="4"/>
  <c r="E5" i="4"/>
  <c r="E2" i="4"/>
  <c r="D3" i="4"/>
  <c r="D4" i="4"/>
  <c r="D5" i="4"/>
  <c r="R3" i="3"/>
  <c r="R4" i="3"/>
  <c r="R5" i="3"/>
  <c r="R6" i="3"/>
  <c r="R7" i="3"/>
  <c r="R2" i="3"/>
  <c r="P3" i="3"/>
  <c r="P4" i="3"/>
  <c r="P5" i="3"/>
  <c r="P6" i="3"/>
  <c r="P7" i="3"/>
  <c r="P2" i="3"/>
  <c r="M4" i="3"/>
  <c r="M5" i="3"/>
  <c r="M6" i="3"/>
  <c r="M7" i="3"/>
  <c r="L3" i="3"/>
  <c r="L4" i="3"/>
  <c r="L5" i="3"/>
  <c r="L6" i="3"/>
  <c r="L7" i="3"/>
  <c r="L2" i="3"/>
  <c r="K3" i="3"/>
  <c r="K4" i="3"/>
  <c r="K5" i="3"/>
  <c r="K6" i="3"/>
  <c r="K7" i="3"/>
  <c r="K2" i="3"/>
  <c r="J2" i="3"/>
  <c r="J3" i="3"/>
  <c r="J4" i="3"/>
  <c r="J5" i="3"/>
  <c r="J6" i="3"/>
  <c r="J7" i="3"/>
  <c r="I3" i="3"/>
  <c r="I4" i="3"/>
  <c r="I5" i="3"/>
  <c r="I6" i="3"/>
  <c r="I7" i="3"/>
  <c r="I2" i="3"/>
  <c r="H2" i="3"/>
  <c r="H3" i="3"/>
  <c r="H4" i="3"/>
  <c r="H5" i="3"/>
  <c r="H6" i="3"/>
  <c r="H7" i="3"/>
  <c r="F2" i="3"/>
  <c r="F3" i="3"/>
  <c r="F4" i="3"/>
  <c r="F5" i="3"/>
  <c r="F6" i="3"/>
  <c r="F7" i="3"/>
  <c r="D3" i="3"/>
  <c r="D4" i="3"/>
  <c r="D5" i="3"/>
  <c r="D6" i="3"/>
  <c r="D7" i="3"/>
  <c r="D2" i="3"/>
  <c r="C3" i="3"/>
  <c r="C4" i="3"/>
  <c r="C5" i="3"/>
  <c r="C6" i="3"/>
  <c r="C7" i="3"/>
  <c r="C2" i="3"/>
  <c r="K8" i="4" l="1"/>
  <c r="L8" i="4" s="1"/>
  <c r="D34" i="5"/>
  <c r="C34" i="5"/>
  <c r="AH8" i="4"/>
  <c r="AH7" i="4"/>
  <c r="D23" i="5"/>
  <c r="E29" i="5"/>
  <c r="E35" i="5" s="1"/>
  <c r="B22" i="5"/>
  <c r="C52" i="5"/>
  <c r="C53" i="5" s="1"/>
  <c r="C54" i="5"/>
  <c r="C55" i="5" s="1"/>
  <c r="B54" i="5"/>
  <c r="B55" i="5" s="1"/>
  <c r="D52" i="5"/>
  <c r="D53" i="5" s="1"/>
  <c r="D54" i="5"/>
  <c r="D55" i="5" s="1"/>
  <c r="O2" i="3"/>
  <c r="O7" i="3"/>
  <c r="O6" i="3"/>
  <c r="O5" i="3"/>
  <c r="O4" i="3"/>
  <c r="O3" i="3"/>
  <c r="K6" i="4"/>
  <c r="L6" i="4" s="1"/>
  <c r="D29" i="5"/>
  <c r="D35" i="5" s="1"/>
  <c r="J4" i="4"/>
  <c r="C29" i="5"/>
  <c r="AH6" i="4"/>
  <c r="J3" i="4"/>
  <c r="E5" i="3"/>
  <c r="M3" i="3"/>
  <c r="N3" i="3" s="1"/>
  <c r="Q2" i="3"/>
  <c r="Q5" i="3"/>
  <c r="Q3" i="3"/>
  <c r="C13" i="5"/>
  <c r="E13" i="5"/>
  <c r="S4" i="3"/>
  <c r="S7" i="3"/>
  <c r="E2" i="3"/>
  <c r="E6" i="3"/>
  <c r="J5" i="4"/>
  <c r="E4" i="3"/>
  <c r="S2" i="3"/>
  <c r="I5" i="4"/>
  <c r="S6" i="3"/>
  <c r="I4" i="4"/>
  <c r="I3" i="4"/>
  <c r="E7" i="3"/>
  <c r="S3" i="3"/>
  <c r="E3" i="3"/>
  <c r="S5" i="3"/>
  <c r="N5" i="3"/>
  <c r="Q7" i="3"/>
  <c r="Q6" i="3"/>
  <c r="N7" i="3"/>
  <c r="I2" i="4"/>
  <c r="N6" i="3"/>
  <c r="Q4" i="3"/>
  <c r="L5" i="4"/>
  <c r="L4" i="4"/>
  <c r="N4" i="3"/>
  <c r="B23" i="5"/>
  <c r="L2" i="4"/>
  <c r="E23" i="5"/>
  <c r="C23" i="5"/>
  <c r="E22" i="5"/>
  <c r="D22" i="5"/>
  <c r="C22" i="5"/>
  <c r="J2" i="4"/>
  <c r="C35" i="5" l="1"/>
  <c r="E53" i="5"/>
  <c r="B24" i="5"/>
  <c r="D24" i="5"/>
  <c r="C24" i="5"/>
  <c r="E24" i="5"/>
  <c r="V2" i="2" l="1"/>
  <c r="D2" i="2"/>
  <c r="C2" i="2"/>
  <c r="BM2" i="2"/>
  <c r="BL2" i="2"/>
  <c r="BK2" i="2"/>
  <c r="BJ2" i="2"/>
  <c r="BI2" i="2"/>
  <c r="BH2" i="2"/>
  <c r="BG2" i="2"/>
  <c r="BE2" i="2"/>
  <c r="BD2" i="2"/>
  <c r="BC2" i="2"/>
  <c r="BB2" i="2"/>
  <c r="BA2" i="2"/>
  <c r="AZ2" i="2"/>
  <c r="AY2" i="2"/>
  <c r="AW2" i="2"/>
  <c r="AV2" i="2"/>
  <c r="AU2" i="2"/>
  <c r="AK2" i="2"/>
  <c r="AT2" i="2"/>
  <c r="AS2" i="2"/>
  <c r="AR2" i="2"/>
  <c r="AJ2" i="2"/>
  <c r="AQ2" i="2"/>
  <c r="AP2" i="2"/>
  <c r="AO2" i="2"/>
  <c r="AI2" i="2"/>
  <c r="AN2" i="2"/>
  <c r="AM2" i="2"/>
  <c r="AL2" i="2"/>
  <c r="AH2" i="2"/>
  <c r="E2" i="2" l="1"/>
  <c r="AG2" i="2"/>
  <c r="AE2" i="2"/>
  <c r="AD2" i="2"/>
  <c r="AF2" i="2"/>
  <c r="AB2" i="2"/>
  <c r="U2" i="2"/>
  <c r="T2" i="2"/>
  <c r="S2" i="2"/>
  <c r="P2" i="2"/>
  <c r="R2" i="2"/>
  <c r="J2" i="2"/>
  <c r="Q2" i="2"/>
  <c r="O2" i="2"/>
  <c r="K2" i="2"/>
  <c r="I2" i="2"/>
  <c r="H2" i="2"/>
  <c r="G2" i="2"/>
  <c r="M2" i="3"/>
  <c r="Z2" i="2"/>
  <c r="K3" i="4"/>
  <c r="L3" i="4" s="1"/>
  <c r="F2" i="2" l="1"/>
  <c r="C39" i="5"/>
  <c r="D39" i="5"/>
  <c r="E39" i="5"/>
  <c r="B39" i="5"/>
  <c r="B14" i="5"/>
  <c r="N2" i="3"/>
  <c r="X2" i="2"/>
  <c r="W2" i="2"/>
  <c r="L2" i="2"/>
  <c r="B29" i="5"/>
  <c r="B35" i="5" s="1"/>
  <c r="AH3" i="4"/>
  <c r="AH4" i="4"/>
  <c r="C14" i="5"/>
  <c r="AH5" i="4"/>
  <c r="D14" i="5"/>
  <c r="AH2" i="4"/>
  <c r="E14" i="5"/>
  <c r="Y2" i="2"/>
  <c r="AA2" i="2"/>
  <c r="AC2" i="2"/>
  <c r="B13" i="6" l="1"/>
  <c r="B19" i="6"/>
  <c r="B31" i="6"/>
  <c r="B22" i="6"/>
  <c r="B10" i="6"/>
  <c r="B5" i="6"/>
  <c r="B4" i="6"/>
  <c r="B26" i="6"/>
  <c r="B9" i="6"/>
  <c r="B27" i="6"/>
  <c r="B18" i="6"/>
  <c r="B30" i="6"/>
  <c r="B28" i="6"/>
  <c r="B7" i="6"/>
  <c r="B23" i="6"/>
  <c r="B25" i="6"/>
  <c r="B29" i="6"/>
  <c r="B2" i="6"/>
  <c r="B11" i="6"/>
  <c r="B8" i="6"/>
  <c r="B15" i="6"/>
  <c r="B33" i="6"/>
  <c r="B24" i="6"/>
  <c r="B17" i="6"/>
  <c r="B12" i="6"/>
  <c r="B20" i="6"/>
  <c r="B14" i="6"/>
  <c r="B16" i="6"/>
  <c r="B21" i="6"/>
  <c r="B32" i="6"/>
  <c r="B3" i="6"/>
  <c r="B6" i="6"/>
</calcChain>
</file>

<file path=xl/sharedStrings.xml><?xml version="1.0" encoding="utf-8"?>
<sst xmlns="http://schemas.openxmlformats.org/spreadsheetml/2006/main" count="1577" uniqueCount="296">
  <si>
    <t>PlayNum</t>
  </si>
  <si>
    <t>SideOfField</t>
  </si>
  <si>
    <t>YardLine</t>
  </si>
  <si>
    <t>JCU</t>
  </si>
  <si>
    <t>PlayType</t>
  </si>
  <si>
    <t>MenInBox</t>
  </si>
  <si>
    <t>CatchSnap</t>
  </si>
  <si>
    <t>ReleaseThrow</t>
  </si>
  <si>
    <t>TimeToThrow</t>
  </si>
  <si>
    <t>TimeReceiveBall</t>
  </si>
  <si>
    <t>TimeFirstTouch</t>
  </si>
  <si>
    <t>TimeBeforeContact</t>
  </si>
  <si>
    <t>PlaySide</t>
  </si>
  <si>
    <t>QB</t>
  </si>
  <si>
    <t>BallCarrier</t>
  </si>
  <si>
    <t>YardsGained</t>
  </si>
  <si>
    <t>ThrowResult</t>
  </si>
  <si>
    <t>ThrowType</t>
  </si>
  <si>
    <t>DepthofTarg</t>
  </si>
  <si>
    <t>Misc</t>
  </si>
  <si>
    <t>Receiver</t>
  </si>
  <si>
    <t>PenaltyType</t>
  </si>
  <si>
    <t>TD</t>
  </si>
  <si>
    <t>YardsBeforeContact</t>
  </si>
  <si>
    <t>BTK</t>
  </si>
  <si>
    <t>YardsAfterCatch</t>
  </si>
  <si>
    <t>Yards</t>
  </si>
  <si>
    <t>Att</t>
  </si>
  <si>
    <t>Errant</t>
  </si>
  <si>
    <t>OverThrown</t>
  </si>
  <si>
    <t>UnderThrown</t>
  </si>
  <si>
    <t>TurnWorthy</t>
  </si>
  <si>
    <t>OnTarg</t>
  </si>
  <si>
    <t>Drop</t>
  </si>
  <si>
    <t>BattedPass(By:DLINE)</t>
  </si>
  <si>
    <t>ThrowAways</t>
  </si>
  <si>
    <t>Spikes</t>
  </si>
  <si>
    <t>DOT</t>
  </si>
  <si>
    <t>ADOT</t>
  </si>
  <si>
    <t>Sacks</t>
  </si>
  <si>
    <t>&lt;=0</t>
  </si>
  <si>
    <t>1 and 9</t>
  </si>
  <si>
    <t>10 and 20</t>
  </si>
  <si>
    <t>20+</t>
  </si>
  <si>
    <t>Floriea</t>
  </si>
  <si>
    <t>Name</t>
  </si>
  <si>
    <t>AvgCombined</t>
  </si>
  <si>
    <t>L</t>
  </si>
  <si>
    <t>Catch</t>
  </si>
  <si>
    <t>RunNum</t>
  </si>
  <si>
    <t>RunName</t>
  </si>
  <si>
    <t>YardsPerAtt</t>
  </si>
  <si>
    <t>Fumbles</t>
  </si>
  <si>
    <t>NegativeRuns</t>
  </si>
  <si>
    <t>Runs 10+</t>
  </si>
  <si>
    <t>TotalTimeBeforeContact</t>
  </si>
  <si>
    <t>AvgTimeBeforeContact</t>
  </si>
  <si>
    <t>YardsAfterContact</t>
  </si>
  <si>
    <t>TotalMenInBox</t>
  </si>
  <si>
    <t>AvgMenInBox</t>
  </si>
  <si>
    <t>RunsBtw0and4</t>
  </si>
  <si>
    <t>RunsBtw4and10</t>
  </si>
  <si>
    <t>RecNum</t>
  </si>
  <si>
    <t>Catches</t>
  </si>
  <si>
    <t>Drops</t>
  </si>
  <si>
    <t>RecYards</t>
  </si>
  <si>
    <t>DOTonCatch</t>
  </si>
  <si>
    <t>YAC</t>
  </si>
  <si>
    <t>AYAC</t>
  </si>
  <si>
    <t>Touchdowns</t>
  </si>
  <si>
    <t>Targets</t>
  </si>
  <si>
    <t>ThirdDownCatches</t>
  </si>
  <si>
    <t>ThirdDownTargets</t>
  </si>
  <si>
    <t>ADOC</t>
  </si>
  <si>
    <t>Targets-&gt;</t>
  </si>
  <si>
    <t>Catches-&gt;</t>
  </si>
  <si>
    <t>NumRuns</t>
  </si>
  <si>
    <t>NumPlays</t>
  </si>
  <si>
    <t>TotYards</t>
  </si>
  <si>
    <t>RunYards</t>
  </si>
  <si>
    <t>PassYards</t>
  </si>
  <si>
    <t>Rushing</t>
  </si>
  <si>
    <t>YardsPerRun</t>
  </si>
  <si>
    <t>Conversions</t>
  </si>
  <si>
    <t>Passing</t>
  </si>
  <si>
    <t>NumPassesCalled</t>
  </si>
  <si>
    <t>NetPassYards</t>
  </si>
  <si>
    <t>PassAttempts</t>
  </si>
  <si>
    <t>SackYardsLost</t>
  </si>
  <si>
    <t>QBScrambles</t>
  </si>
  <si>
    <t>QBScramYards</t>
  </si>
  <si>
    <t>NetYardsPerPassCalled</t>
  </si>
  <si>
    <t>PassAttConversions</t>
  </si>
  <si>
    <t>QBScramConversions</t>
  </si>
  <si>
    <t>3rd Down Efficiency</t>
  </si>
  <si>
    <t>1 and 3</t>
  </si>
  <si>
    <t>4 and 6</t>
  </si>
  <si>
    <t>7+</t>
  </si>
  <si>
    <t>OffPersonnel</t>
  </si>
  <si>
    <t>Run</t>
  </si>
  <si>
    <t>M</t>
  </si>
  <si>
    <t>OPP</t>
  </si>
  <si>
    <t>R</t>
  </si>
  <si>
    <t>DriveStart</t>
  </si>
  <si>
    <t>X</t>
  </si>
  <si>
    <t>Notes</t>
  </si>
  <si>
    <t>TotFirstDownConversions</t>
  </si>
  <si>
    <t>Bad Snaps</t>
  </si>
  <si>
    <t>Number</t>
  </si>
  <si>
    <t>Yards Lost</t>
  </si>
  <si>
    <t>BLOS</t>
  </si>
  <si>
    <t>Left BLOS</t>
  </si>
  <si>
    <t>Mid BLOS</t>
  </si>
  <si>
    <t>Left Short</t>
  </si>
  <si>
    <t>Mid Short</t>
  </si>
  <si>
    <t>Right Short</t>
  </si>
  <si>
    <t>Left Deep</t>
  </si>
  <si>
    <t>Mid Deep</t>
  </si>
  <si>
    <t>Right Deep</t>
  </si>
  <si>
    <t>Completions</t>
  </si>
  <si>
    <t>Goodwin</t>
  </si>
  <si>
    <t>AverageYardsBeforeContact</t>
  </si>
  <si>
    <t>Medium</t>
  </si>
  <si>
    <t>Short</t>
  </si>
  <si>
    <t>Deep</t>
  </si>
  <si>
    <t>Colmon</t>
  </si>
  <si>
    <t>Limerick</t>
  </si>
  <si>
    <t>Fugh</t>
  </si>
  <si>
    <t>Trudeau</t>
  </si>
  <si>
    <t>Right BLOS</t>
  </si>
  <si>
    <t>Left Medium</t>
  </si>
  <si>
    <t>Mid Medium</t>
  </si>
  <si>
    <t>Right Medium</t>
  </si>
  <si>
    <t>Fumbles Lost</t>
  </si>
  <si>
    <t>Penalties</t>
  </si>
  <si>
    <t>Yards Gained/Lost</t>
  </si>
  <si>
    <t>NumberWithPenalties</t>
  </si>
  <si>
    <t>Penalty Conversions</t>
  </si>
  <si>
    <t>Total</t>
  </si>
  <si>
    <t>Conv Perc</t>
  </si>
  <si>
    <t>Pass</t>
  </si>
  <si>
    <t>QB Scrambles</t>
  </si>
  <si>
    <t>Total Passes Called</t>
  </si>
  <si>
    <t>Buser</t>
  </si>
  <si>
    <t>Average Yards to Go</t>
  </si>
  <si>
    <t>Yards to Go</t>
  </si>
  <si>
    <t>Total Conversions</t>
  </si>
  <si>
    <t>Cross</t>
  </si>
  <si>
    <t>Route</t>
  </si>
  <si>
    <t>Post</t>
  </si>
  <si>
    <t>RecAlignment</t>
  </si>
  <si>
    <t>Slot Right</t>
  </si>
  <si>
    <t>PA?</t>
  </si>
  <si>
    <t>PA</t>
  </si>
  <si>
    <t>QBLoc</t>
  </si>
  <si>
    <t>Under</t>
  </si>
  <si>
    <t>Pistol</t>
  </si>
  <si>
    <t>Single Back</t>
  </si>
  <si>
    <t>Wrong Read: Hit the Top Go</t>
  </si>
  <si>
    <t>Busted</t>
  </si>
  <si>
    <t>Tight Right</t>
  </si>
  <si>
    <t>Chip n Release</t>
  </si>
  <si>
    <t>Post-Corner</t>
  </si>
  <si>
    <t>Incomplete</t>
  </si>
  <si>
    <t>Throw it sooner</t>
  </si>
  <si>
    <t>Shotgun</t>
  </si>
  <si>
    <t>No</t>
  </si>
  <si>
    <t>Back Right</t>
  </si>
  <si>
    <t>RB Motion Rt</t>
  </si>
  <si>
    <t>Swing</t>
  </si>
  <si>
    <t xml:space="preserve">Flat </t>
  </si>
  <si>
    <t xml:space="preserve">Out </t>
  </si>
  <si>
    <t>Corner</t>
  </si>
  <si>
    <t>RB Right</t>
  </si>
  <si>
    <t>Sack</t>
  </si>
  <si>
    <t>Pass Attempt</t>
  </si>
  <si>
    <t>Tight End Rt</t>
  </si>
  <si>
    <t>Leak Out</t>
  </si>
  <si>
    <t>Wide Rt</t>
  </si>
  <si>
    <t>Go</t>
  </si>
  <si>
    <t>Drag</t>
  </si>
  <si>
    <t>Hook</t>
  </si>
  <si>
    <t>QB Scramble</t>
  </si>
  <si>
    <t>Wing Right</t>
  </si>
  <si>
    <t>Screen</t>
  </si>
  <si>
    <t>Bubble Screen</t>
  </si>
  <si>
    <t>X-third-first full</t>
  </si>
  <si>
    <t>Out Left</t>
  </si>
  <si>
    <t>Deep Out</t>
  </si>
  <si>
    <t>Wide Left</t>
  </si>
  <si>
    <t>BEAUTIFUL</t>
  </si>
  <si>
    <t>Slot Left</t>
  </si>
  <si>
    <t>Fumble</t>
  </si>
  <si>
    <t>X-Second full 24 set</t>
  </si>
  <si>
    <t>Boundary Screen</t>
  </si>
  <si>
    <t>Singleback</t>
  </si>
  <si>
    <t>Checkdown</t>
  </si>
  <si>
    <t>RB Left</t>
  </si>
  <si>
    <t xml:space="preserve">Swing </t>
  </si>
  <si>
    <t>X-Third full 24 set</t>
  </si>
  <si>
    <t>Great Throw</t>
  </si>
  <si>
    <t>X-Last 3 bottom of page</t>
  </si>
  <si>
    <t>5 Needs to read high to low --&gt; LB in middle of field is key. He misreads</t>
  </si>
  <si>
    <t>Wing Left</t>
  </si>
  <si>
    <t>Check n Release</t>
  </si>
  <si>
    <t>Tight Left</t>
  </si>
  <si>
    <t>X-First full set page 4</t>
  </si>
  <si>
    <t>X-First Full 28</t>
  </si>
  <si>
    <t>Slotback Left</t>
  </si>
  <si>
    <t>Flat</t>
  </si>
  <si>
    <t>Slant</t>
  </si>
  <si>
    <t>X-Last full 25</t>
  </si>
  <si>
    <t>Great Screen &amp;  Block by 6</t>
  </si>
  <si>
    <t>Out Right</t>
  </si>
  <si>
    <t>X-Last 2 plays page 4</t>
  </si>
  <si>
    <t>401-500</t>
  </si>
  <si>
    <t>Wide Right</t>
  </si>
  <si>
    <t>In</t>
  </si>
  <si>
    <t>First full 24</t>
  </si>
  <si>
    <t>Curl</t>
  </si>
  <si>
    <t>Over</t>
  </si>
  <si>
    <t>Out</t>
  </si>
  <si>
    <t>Mtn Right Back</t>
  </si>
  <si>
    <t>Set of 10</t>
  </si>
  <si>
    <t>Last set of 20</t>
  </si>
  <si>
    <t xml:space="preserve">First Full 24 </t>
  </si>
  <si>
    <t>501-600</t>
  </si>
  <si>
    <t>Fade</t>
  </si>
  <si>
    <t>NEU</t>
  </si>
  <si>
    <t>Backfield Wing Left</t>
  </si>
  <si>
    <t>First full 18</t>
  </si>
  <si>
    <t>Tight Slot</t>
  </si>
  <si>
    <t>Sit</t>
  </si>
  <si>
    <t>cmp_blos</t>
  </si>
  <si>
    <t>cmp_1_and_9</t>
  </si>
  <si>
    <t>cmp_10_and_20</t>
  </si>
  <si>
    <t>cmp_20plus</t>
  </si>
  <si>
    <t>cmp_left_blos</t>
  </si>
  <si>
    <t>cmp_mid_blos</t>
  </si>
  <si>
    <t>cmp_right_blos</t>
  </si>
  <si>
    <t>cmp_left_19</t>
  </si>
  <si>
    <t>cmp_mid_19</t>
  </si>
  <si>
    <t>cmp_right_19</t>
  </si>
  <si>
    <t>cmp_left_1020</t>
  </si>
  <si>
    <t>cmp_mid_1020</t>
  </si>
  <si>
    <t>cmp_right_1020</t>
  </si>
  <si>
    <t>cmp_left_20plus</t>
  </si>
  <si>
    <t>cmp_mid_20plus</t>
  </si>
  <si>
    <t>cmp_right_20plus</t>
  </si>
  <si>
    <t>targs_blos</t>
  </si>
  <si>
    <t>targs_1_and_9</t>
  </si>
  <si>
    <t>targs_10_and_20</t>
  </si>
  <si>
    <t>targs_20plus</t>
  </si>
  <si>
    <t>targs_left_blos</t>
  </si>
  <si>
    <t>targs_mid_bls</t>
  </si>
  <si>
    <t>targs_right_blos</t>
  </si>
  <si>
    <t>targs_left19</t>
  </si>
  <si>
    <t>targs_mid19</t>
  </si>
  <si>
    <t>targs_right19</t>
  </si>
  <si>
    <t>targs_left_1020</t>
  </si>
  <si>
    <t>targs_mid1020</t>
  </si>
  <si>
    <t>targs_right1020</t>
  </si>
  <si>
    <t>targs_left_20plus</t>
  </si>
  <si>
    <t>targs_mid_20plus</t>
  </si>
  <si>
    <t>targs_right_20plus</t>
  </si>
  <si>
    <t>qb_name</t>
  </si>
  <si>
    <t>qb_num</t>
  </si>
  <si>
    <t>tot_plays</t>
  </si>
  <si>
    <t>net_yards_gained</t>
  </si>
  <si>
    <t>net_yards_per_play</t>
  </si>
  <si>
    <t>net_yards_per_pass</t>
  </si>
  <si>
    <t>pass_td</t>
  </si>
  <si>
    <t>int</t>
  </si>
  <si>
    <t>pass_yards</t>
  </si>
  <si>
    <t>cmp</t>
  </si>
  <si>
    <t>pass_att</t>
  </si>
  <si>
    <t>tot_off_targ</t>
  </si>
  <si>
    <t>adj_comp</t>
  </si>
  <si>
    <t>avg_time_to_throw</t>
  </si>
  <si>
    <t>total_time_to_throw</t>
  </si>
  <si>
    <t>total_time_before_sacked</t>
  </si>
  <si>
    <t>avg_time_sacks</t>
  </si>
  <si>
    <t>sacks</t>
  </si>
  <si>
    <t>sack_yards_lost</t>
  </si>
  <si>
    <t>scrambles</t>
  </si>
  <si>
    <t>scramble_yards</t>
  </si>
  <si>
    <t>area</t>
  </si>
  <si>
    <t>num_targs</t>
  </si>
  <si>
    <t>xlocation</t>
  </si>
  <si>
    <t>ylocation</t>
  </si>
  <si>
    <t>Skip 17 and these</t>
  </si>
  <si>
    <t>Last set of 21</t>
  </si>
  <si>
    <t>Underthrown</t>
  </si>
  <si>
    <t>Last set of 10</t>
  </si>
  <si>
    <t>ThrowAway</t>
  </si>
  <si>
    <t>Last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</si>
</sst>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0" fillId="0" borderId="0" xfId="0" applyNumberFormat="1"/>
    <xf numFmtId="1" fontId="4" fillId="0" borderId="0" xfId="0" applyNumberFormat="1" applyFont="1"/>
    <xf numFmtId="1" fontId="0" fillId="0" borderId="0" xfId="0" applyNumberFormat="1"/>
    <xf numFmtId="2" fontId="3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Targets by ADOT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ReceivingData!$P$1</c:f>
              <c:strCache>
                <c:ptCount val="1"/>
                <c:pt idx="0">
                  <c:v>BLOS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ReceivingData!$P$2:$P$6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0-46D8-BC41-E8FF91C9CCB0}"/>
            </c:ext>
          </c:extLst>
        </c:ser>
        <c:ser>
          <c:idx val="1"/>
          <c:order val="1"/>
          <c:tx>
            <c:strRef>
              <c:f>ReceivingData!$Q$1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ReceivingData!$Q$2:$Q$6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0-46D8-BC41-E8FF91C9CCB0}"/>
            </c:ext>
          </c:extLst>
        </c:ser>
        <c:ser>
          <c:idx val="2"/>
          <c:order val="2"/>
          <c:tx>
            <c:strRef>
              <c:f>ReceivingData!$R$1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ReceivingData!$R$2:$R$6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0-46D8-BC41-E8FF91C9CCB0}"/>
            </c:ext>
          </c:extLst>
        </c:ser>
        <c:ser>
          <c:idx val="3"/>
          <c:order val="3"/>
          <c:tx>
            <c:strRef>
              <c:f>ReceivingData!$S$1</c:f>
              <c:strCache>
                <c:ptCount val="1"/>
                <c:pt idx="0">
                  <c:v>Deep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ReceivingData!$A$2:$A$6</c:f>
              <c:strCache>
                <c:ptCount val="5"/>
                <c:pt idx="0">
                  <c:v>Colmon</c:v>
                </c:pt>
                <c:pt idx="1">
                  <c:v>Cross</c:v>
                </c:pt>
                <c:pt idx="2">
                  <c:v>Trudeau</c:v>
                </c:pt>
                <c:pt idx="3">
                  <c:v>Fugh</c:v>
                </c:pt>
                <c:pt idx="4">
                  <c:v>Limerick</c:v>
                </c:pt>
              </c:strCache>
            </c:strRef>
          </c:cat>
          <c:val>
            <c:numRef>
              <c:f>ReceivingData!$S$2:$S$6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0-46D8-BC41-E8FF91C9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31551"/>
        <c:axId val="854733631"/>
      </c:barChart>
      <c:catAx>
        <c:axId val="854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3631"/>
        <c:crosses val="autoZero"/>
        <c:auto val="1"/>
        <c:lblAlgn val="ctr"/>
        <c:lblOffset val="100"/>
        <c:noMultiLvlLbl val="0"/>
      </c:catAx>
      <c:valAx>
        <c:axId val="854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10582</xdr:colOff>
      <xdr:row>10</xdr:row>
      <xdr:rowOff>179917</xdr:rowOff>
    </xdr:from>
    <xdr:to>
      <xdr:col>9</xdr:col>
      <xdr:colOff>23282</xdr:colOff>
      <xdr:row>26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E34ED-E79C-4BEB-A6DD-4710F9FD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4751-F4C0-442E-A997-7145C39C3521}">
  <dimension ref="A1:AE210"/>
  <sheetViews>
    <sheetView tabSelected="1" zoomScaleNormal="100" workbookViewId="0">
      <pane ySplit="1" topLeftCell="A2" activePane="bottomLeft" state="frozen"/>
      <selection activeCell="H1" sqref="H1"/>
      <selection pane="bottomLeft" activeCell="R11" sqref="R11"/>
    </sheetView>
  </sheetViews>
  <sheetFormatPr defaultRowHeight="14.35" x14ac:dyDescent="0.5"/>
  <cols>
    <col min="1" max="1" width="16.17578125" bestFit="1" customWidth="1"/>
    <col min="2" max="2" width="8.1171875" bestFit="1" customWidth="1"/>
    <col min="3" max="3" width="10" bestFit="1" customWidth="1"/>
    <col min="4" max="4" width="7.8203125" bestFit="1" customWidth="1"/>
    <col min="5" max="5" width="10.8203125" bestFit="1" customWidth="1"/>
    <col min="6" max="6" width="10.8203125" customWidth="1"/>
    <col min="7" max="7" width="11.17578125" bestFit="1" customWidth="1"/>
    <col min="8" max="8" width="9.234375" customWidth="1"/>
    <col min="9" max="9" width="11.41015625" bestFit="1" customWidth="1"/>
    <col min="10" max="10" width="9.17578125" bestFit="1" customWidth="1"/>
    <col min="11" max="11" width="11.87890625" bestFit="1" customWidth="1"/>
    <col min="12" max="12" width="11.87890625" customWidth="1"/>
    <col min="13" max="13" width="17" bestFit="1" customWidth="1"/>
    <col min="14" max="14" width="17" customWidth="1"/>
    <col min="15" max="15" width="13.703125" bestFit="1" customWidth="1"/>
    <col min="16" max="16" width="12.9375" bestFit="1" customWidth="1"/>
    <col min="17" max="17" width="14.17578125" bestFit="1" customWidth="1"/>
    <col min="18" max="18" width="16.46875" bestFit="1" customWidth="1"/>
    <col min="19" max="19" width="11" bestFit="1" customWidth="1"/>
    <col min="20" max="20" width="11" customWidth="1"/>
    <col min="21" max="21" width="11.05859375" bestFit="1" customWidth="1"/>
    <col min="22" max="22" width="12.1171875" bestFit="1" customWidth="1"/>
    <col min="23" max="23" width="10.9375" bestFit="1" customWidth="1"/>
    <col min="26" max="26" width="14.29296875" bestFit="1" customWidth="1"/>
    <col min="27" max="27" width="12.17578125" bestFit="1" customWidth="1"/>
    <col min="28" max="28" width="13.87890625" bestFit="1" customWidth="1"/>
    <col min="29" max="29" width="12" bestFit="1" customWidth="1"/>
    <col min="30" max="30" width="16.46875" bestFit="1" customWidth="1"/>
    <col min="31" max="31" width="12.1171875" bestFit="1" customWidth="1"/>
  </cols>
  <sheetData>
    <row r="1" spans="1:31" s="3" customFormat="1" x14ac:dyDescent="0.5">
      <c r="A1" s="2" t="s">
        <v>103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154</v>
      </c>
      <c r="G1" s="3" t="s">
        <v>4</v>
      </c>
      <c r="H1" s="3" t="s">
        <v>12</v>
      </c>
      <c r="I1" s="3" t="s">
        <v>98</v>
      </c>
      <c r="J1" s="3" t="s">
        <v>5</v>
      </c>
      <c r="K1" s="3" t="s">
        <v>13</v>
      </c>
      <c r="L1" s="3" t="s">
        <v>14</v>
      </c>
      <c r="M1" s="3" t="s">
        <v>23</v>
      </c>
      <c r="N1" s="3" t="s">
        <v>24</v>
      </c>
      <c r="O1" s="3" t="s">
        <v>6</v>
      </c>
      <c r="P1" s="3" t="s">
        <v>7</v>
      </c>
      <c r="Q1" s="3" t="s">
        <v>9</v>
      </c>
      <c r="R1" s="3" t="s">
        <v>10</v>
      </c>
      <c r="S1" s="3" t="s">
        <v>15</v>
      </c>
      <c r="T1" s="3" t="s">
        <v>19</v>
      </c>
      <c r="U1" s="3" t="s">
        <v>16</v>
      </c>
      <c r="V1" s="3" t="s">
        <v>17</v>
      </c>
      <c r="W1" s="3" t="s">
        <v>18</v>
      </c>
      <c r="X1" s="3" t="s">
        <v>20</v>
      </c>
      <c r="Y1" s="3" t="s">
        <v>152</v>
      </c>
      <c r="Z1" s="3" t="s">
        <v>150</v>
      </c>
      <c r="AA1" s="3" t="s">
        <v>148</v>
      </c>
      <c r="AB1" s="3" t="s">
        <v>25</v>
      </c>
      <c r="AC1" s="3" t="s">
        <v>8</v>
      </c>
      <c r="AD1" s="3" t="s">
        <v>11</v>
      </c>
      <c r="AE1" s="3" t="s">
        <v>105</v>
      </c>
    </row>
    <row r="2" spans="1:31" x14ac:dyDescent="0.5">
      <c r="A2" s="1" t="s">
        <v>104</v>
      </c>
      <c r="B2" s="1">
        <v>9</v>
      </c>
      <c r="C2" s="1" t="s">
        <v>3</v>
      </c>
      <c r="D2" s="1">
        <v>30</v>
      </c>
      <c r="E2" s="1"/>
      <c r="F2" s="1" t="s">
        <v>156</v>
      </c>
      <c r="G2" t="s">
        <v>99</v>
      </c>
      <c r="H2" t="s">
        <v>100</v>
      </c>
      <c r="I2">
        <v>12</v>
      </c>
      <c r="J2">
        <v>7</v>
      </c>
      <c r="K2">
        <v>5</v>
      </c>
      <c r="L2">
        <v>25</v>
      </c>
      <c r="M2">
        <v>0</v>
      </c>
      <c r="Q2">
        <v>17.5</v>
      </c>
      <c r="R2">
        <v>19.13</v>
      </c>
      <c r="S2">
        <v>1</v>
      </c>
      <c r="AB2" t="str">
        <f>IF($U2="Catch",$S2-$W2,"No Catch")</f>
        <v>No Catch</v>
      </c>
      <c r="AC2">
        <f>$P2-$O2</f>
        <v>0</v>
      </c>
      <c r="AD2">
        <f>$R2-$Q2</f>
        <v>1.629999999999999</v>
      </c>
    </row>
    <row r="3" spans="1:31" x14ac:dyDescent="0.5">
      <c r="A3" s="1"/>
      <c r="B3" s="1">
        <v>10</v>
      </c>
      <c r="C3" s="1" t="s">
        <v>3</v>
      </c>
      <c r="D3" s="1">
        <v>40</v>
      </c>
      <c r="E3" s="1"/>
      <c r="F3" s="1" t="s">
        <v>155</v>
      </c>
      <c r="G3" t="s">
        <v>99</v>
      </c>
      <c r="H3" t="s">
        <v>102</v>
      </c>
      <c r="I3">
        <v>11</v>
      </c>
      <c r="J3">
        <v>7</v>
      </c>
      <c r="K3">
        <v>5</v>
      </c>
      <c r="L3">
        <v>25</v>
      </c>
      <c r="M3">
        <v>2</v>
      </c>
      <c r="Q3">
        <v>16.5</v>
      </c>
      <c r="R3">
        <v>17.600000000000001</v>
      </c>
      <c r="S3">
        <v>2</v>
      </c>
      <c r="AB3" t="str">
        <f t="shared" ref="AB3:AB66" si="0">IF($U3="Catch",$S3-$W3,"No Catch")</f>
        <v>No Catch</v>
      </c>
      <c r="AC3">
        <f t="shared" ref="AC3:AC66" si="1">$P3-$O3</f>
        <v>0</v>
      </c>
      <c r="AD3">
        <f t="shared" ref="AD3:AD66" si="2">$R3-$Q3</f>
        <v>1.1000000000000014</v>
      </c>
    </row>
    <row r="4" spans="1:31" x14ac:dyDescent="0.5">
      <c r="A4" s="1"/>
      <c r="B4" s="1">
        <v>11</v>
      </c>
      <c r="C4" t="s">
        <v>228</v>
      </c>
      <c r="D4" s="1">
        <v>50</v>
      </c>
      <c r="E4" s="1"/>
      <c r="F4" s="1" t="s">
        <v>155</v>
      </c>
      <c r="G4" t="s">
        <v>175</v>
      </c>
      <c r="H4" t="s">
        <v>100</v>
      </c>
      <c r="I4">
        <v>11</v>
      </c>
      <c r="J4">
        <v>6</v>
      </c>
      <c r="K4">
        <v>5</v>
      </c>
      <c r="O4">
        <v>7.98</v>
      </c>
      <c r="P4">
        <v>11.11</v>
      </c>
      <c r="S4">
        <v>50</v>
      </c>
      <c r="U4" t="s">
        <v>48</v>
      </c>
      <c r="V4" t="s">
        <v>32</v>
      </c>
      <c r="W4">
        <v>25</v>
      </c>
      <c r="X4">
        <v>83</v>
      </c>
      <c r="Y4" t="s">
        <v>153</v>
      </c>
      <c r="Z4" t="s">
        <v>151</v>
      </c>
      <c r="AA4" t="s">
        <v>149</v>
      </c>
      <c r="AB4">
        <f t="shared" si="0"/>
        <v>25</v>
      </c>
      <c r="AC4">
        <f t="shared" si="1"/>
        <v>3.129999999999999</v>
      </c>
      <c r="AD4">
        <f t="shared" si="2"/>
        <v>0</v>
      </c>
    </row>
    <row r="5" spans="1:31" x14ac:dyDescent="0.5">
      <c r="A5" s="1"/>
      <c r="B5" s="1">
        <v>12</v>
      </c>
      <c r="C5" s="1" t="s">
        <v>101</v>
      </c>
      <c r="D5" s="1">
        <v>40</v>
      </c>
      <c r="E5" s="1"/>
      <c r="F5" s="1" t="s">
        <v>156</v>
      </c>
      <c r="G5" s="1" t="s">
        <v>99</v>
      </c>
      <c r="H5" s="1" t="s">
        <v>100</v>
      </c>
      <c r="I5">
        <v>12</v>
      </c>
      <c r="J5">
        <v>7</v>
      </c>
      <c r="K5">
        <v>5</v>
      </c>
      <c r="L5">
        <v>25</v>
      </c>
      <c r="M5">
        <v>1.5</v>
      </c>
      <c r="Q5">
        <v>4.7</v>
      </c>
      <c r="R5">
        <v>5.88</v>
      </c>
      <c r="S5">
        <v>3</v>
      </c>
      <c r="AB5" t="str">
        <f t="shared" si="0"/>
        <v>No Catch</v>
      </c>
      <c r="AC5">
        <f t="shared" si="1"/>
        <v>0</v>
      </c>
      <c r="AD5">
        <f t="shared" si="2"/>
        <v>1.1799999999999997</v>
      </c>
    </row>
    <row r="6" spans="1:31" x14ac:dyDescent="0.5">
      <c r="A6" s="1" t="s">
        <v>104</v>
      </c>
      <c r="B6" s="1">
        <v>1</v>
      </c>
      <c r="C6" s="1" t="s">
        <v>3</v>
      </c>
      <c r="D6" s="1">
        <v>30</v>
      </c>
      <c r="E6" s="1"/>
      <c r="F6" s="1" t="s">
        <v>156</v>
      </c>
      <c r="G6" s="1" t="s">
        <v>99</v>
      </c>
      <c r="H6" s="1" t="s">
        <v>100</v>
      </c>
      <c r="I6">
        <v>11</v>
      </c>
      <c r="J6">
        <v>6</v>
      </c>
      <c r="K6">
        <v>5</v>
      </c>
      <c r="L6">
        <v>1</v>
      </c>
      <c r="M6">
        <v>7.5</v>
      </c>
      <c r="Q6">
        <v>11.59</v>
      </c>
      <c r="R6">
        <v>14.35</v>
      </c>
      <c r="S6">
        <v>12</v>
      </c>
      <c r="AB6" t="str">
        <f t="shared" si="0"/>
        <v>No Catch</v>
      </c>
      <c r="AC6">
        <f t="shared" si="1"/>
        <v>0</v>
      </c>
      <c r="AD6">
        <f t="shared" si="2"/>
        <v>2.76</v>
      </c>
    </row>
    <row r="7" spans="1:31" x14ac:dyDescent="0.5">
      <c r="A7" s="1"/>
      <c r="B7" s="1">
        <v>2</v>
      </c>
      <c r="C7" s="1" t="s">
        <v>3</v>
      </c>
      <c r="D7" s="1">
        <v>30</v>
      </c>
      <c r="E7" s="1"/>
      <c r="F7" s="1" t="s">
        <v>155</v>
      </c>
      <c r="G7" s="1" t="s">
        <v>99</v>
      </c>
      <c r="H7" s="1" t="s">
        <v>47</v>
      </c>
      <c r="I7">
        <v>12</v>
      </c>
      <c r="J7">
        <v>7</v>
      </c>
      <c r="K7">
        <v>5</v>
      </c>
      <c r="L7">
        <v>1</v>
      </c>
      <c r="M7">
        <v>5</v>
      </c>
      <c r="Q7">
        <v>9.7899999999999991</v>
      </c>
      <c r="R7">
        <v>12.47</v>
      </c>
      <c r="S7">
        <v>5</v>
      </c>
      <c r="AB7" t="str">
        <f t="shared" si="0"/>
        <v>No Catch</v>
      </c>
      <c r="AC7">
        <f t="shared" si="1"/>
        <v>0</v>
      </c>
      <c r="AD7">
        <f t="shared" si="2"/>
        <v>2.6800000000000015</v>
      </c>
    </row>
    <row r="8" spans="1:31" x14ac:dyDescent="0.5">
      <c r="A8" s="1"/>
      <c r="B8" s="1">
        <v>3</v>
      </c>
      <c r="C8" s="1" t="s">
        <v>3</v>
      </c>
      <c r="D8" s="1">
        <v>30</v>
      </c>
      <c r="E8" s="1"/>
      <c r="F8" s="1" t="s">
        <v>156</v>
      </c>
      <c r="G8" s="1" t="s">
        <v>99</v>
      </c>
      <c r="H8" s="1" t="s">
        <v>100</v>
      </c>
      <c r="I8">
        <v>12</v>
      </c>
      <c r="J8">
        <v>7</v>
      </c>
      <c r="K8">
        <v>5</v>
      </c>
      <c r="L8">
        <v>1</v>
      </c>
      <c r="M8">
        <v>0</v>
      </c>
      <c r="Q8">
        <v>13.64</v>
      </c>
      <c r="R8">
        <v>14.83</v>
      </c>
      <c r="S8">
        <v>0</v>
      </c>
      <c r="AB8" t="str">
        <f t="shared" si="0"/>
        <v>No Catch</v>
      </c>
      <c r="AC8">
        <f t="shared" si="1"/>
        <v>0</v>
      </c>
      <c r="AD8">
        <f t="shared" si="2"/>
        <v>1.1899999999999995</v>
      </c>
    </row>
    <row r="9" spans="1:31" x14ac:dyDescent="0.5">
      <c r="A9" s="1"/>
      <c r="B9" s="1">
        <v>4</v>
      </c>
      <c r="C9" s="1" t="s">
        <v>3</v>
      </c>
      <c r="D9" s="1">
        <v>30</v>
      </c>
      <c r="E9" s="1"/>
      <c r="F9" s="1" t="s">
        <v>155</v>
      </c>
      <c r="G9" t="s">
        <v>175</v>
      </c>
      <c r="H9" s="1" t="s">
        <v>47</v>
      </c>
      <c r="I9">
        <v>11</v>
      </c>
      <c r="J9">
        <v>6</v>
      </c>
      <c r="K9">
        <v>5</v>
      </c>
      <c r="O9">
        <v>8.35</v>
      </c>
      <c r="P9">
        <v>12.22</v>
      </c>
      <c r="S9">
        <v>11</v>
      </c>
      <c r="U9" t="s">
        <v>48</v>
      </c>
      <c r="V9" t="s">
        <v>32</v>
      </c>
      <c r="W9">
        <v>2</v>
      </c>
      <c r="X9">
        <v>1</v>
      </c>
      <c r="Y9" t="s">
        <v>153</v>
      </c>
      <c r="Z9" t="s">
        <v>157</v>
      </c>
      <c r="AA9" t="s">
        <v>171</v>
      </c>
      <c r="AB9">
        <f t="shared" si="0"/>
        <v>9</v>
      </c>
      <c r="AC9">
        <f t="shared" si="1"/>
        <v>3.870000000000001</v>
      </c>
      <c r="AD9">
        <f t="shared" si="2"/>
        <v>0</v>
      </c>
    </row>
    <row r="10" spans="1:31" x14ac:dyDescent="0.5">
      <c r="A10" s="1" t="s">
        <v>104</v>
      </c>
      <c r="B10" s="1">
        <v>9</v>
      </c>
      <c r="C10" s="1" t="s">
        <v>3</v>
      </c>
      <c r="D10" s="1">
        <v>30</v>
      </c>
      <c r="E10" s="1"/>
      <c r="F10" s="1" t="s">
        <v>156</v>
      </c>
      <c r="G10" s="1" t="s">
        <v>99</v>
      </c>
      <c r="H10" s="1" t="s">
        <v>100</v>
      </c>
      <c r="I10">
        <v>12</v>
      </c>
      <c r="J10">
        <v>7</v>
      </c>
      <c r="K10">
        <v>5</v>
      </c>
      <c r="L10">
        <v>1</v>
      </c>
      <c r="M10">
        <v>9</v>
      </c>
      <c r="Q10">
        <v>13.21</v>
      </c>
      <c r="R10">
        <v>15.4</v>
      </c>
      <c r="S10">
        <v>12</v>
      </c>
      <c r="AB10" t="str">
        <f t="shared" si="0"/>
        <v>No Catch</v>
      </c>
      <c r="AC10">
        <f t="shared" si="1"/>
        <v>0</v>
      </c>
      <c r="AD10">
        <f t="shared" si="2"/>
        <v>2.1899999999999995</v>
      </c>
    </row>
    <row r="11" spans="1:31" x14ac:dyDescent="0.5">
      <c r="A11" s="1"/>
      <c r="B11" s="1">
        <v>11</v>
      </c>
      <c r="C11" s="1" t="s">
        <v>3</v>
      </c>
      <c r="D11" s="1">
        <v>30</v>
      </c>
      <c r="E11" s="1"/>
      <c r="F11" s="1" t="s">
        <v>155</v>
      </c>
      <c r="G11" t="s">
        <v>175</v>
      </c>
      <c r="H11" s="1" t="s">
        <v>100</v>
      </c>
      <c r="I11">
        <v>11</v>
      </c>
      <c r="J11">
        <v>6</v>
      </c>
      <c r="K11">
        <v>5</v>
      </c>
      <c r="O11">
        <v>7.35</v>
      </c>
      <c r="P11">
        <v>10.44</v>
      </c>
      <c r="S11">
        <v>27</v>
      </c>
      <c r="U11" t="s">
        <v>48</v>
      </c>
      <c r="V11" t="s">
        <v>30</v>
      </c>
      <c r="W11">
        <v>27</v>
      </c>
      <c r="X11">
        <v>4</v>
      </c>
      <c r="Y11" t="s">
        <v>153</v>
      </c>
      <c r="Z11" t="s">
        <v>151</v>
      </c>
      <c r="AA11" t="s">
        <v>149</v>
      </c>
      <c r="AB11">
        <f t="shared" si="0"/>
        <v>0</v>
      </c>
      <c r="AC11">
        <f t="shared" si="1"/>
        <v>3.09</v>
      </c>
      <c r="AD11">
        <f t="shared" si="2"/>
        <v>0</v>
      </c>
      <c r="AE11" t="s">
        <v>158</v>
      </c>
    </row>
    <row r="12" spans="1:31" x14ac:dyDescent="0.5">
      <c r="A12" s="1"/>
      <c r="B12" s="1">
        <v>12</v>
      </c>
      <c r="C12" s="1" t="s">
        <v>3</v>
      </c>
      <c r="D12" s="1">
        <v>30</v>
      </c>
      <c r="E12" s="1"/>
      <c r="F12" s="1" t="s">
        <v>156</v>
      </c>
      <c r="G12" s="1" t="s">
        <v>99</v>
      </c>
      <c r="H12" s="1" t="s">
        <v>102</v>
      </c>
      <c r="I12">
        <v>12</v>
      </c>
      <c r="J12">
        <v>7</v>
      </c>
      <c r="K12">
        <v>5</v>
      </c>
      <c r="L12">
        <v>1</v>
      </c>
      <c r="M12">
        <v>-1</v>
      </c>
      <c r="Q12">
        <v>8.65</v>
      </c>
      <c r="R12">
        <v>10.029999999999999</v>
      </c>
      <c r="S12">
        <v>0</v>
      </c>
      <c r="AB12" t="str">
        <f t="shared" si="0"/>
        <v>No Catch</v>
      </c>
      <c r="AC12">
        <f t="shared" si="1"/>
        <v>0</v>
      </c>
      <c r="AD12">
        <f t="shared" si="2"/>
        <v>1.379999999999999</v>
      </c>
    </row>
    <row r="13" spans="1:31" x14ac:dyDescent="0.5">
      <c r="A13" s="1"/>
      <c r="B13" s="1">
        <v>10</v>
      </c>
      <c r="C13" s="1" t="s">
        <v>3</v>
      </c>
      <c r="D13" s="1">
        <v>30</v>
      </c>
      <c r="E13" s="1"/>
      <c r="F13" s="1" t="s">
        <v>155</v>
      </c>
      <c r="G13" s="1" t="s">
        <v>99</v>
      </c>
      <c r="H13" s="1" t="s">
        <v>100</v>
      </c>
      <c r="I13">
        <v>11</v>
      </c>
      <c r="J13">
        <v>6</v>
      </c>
      <c r="K13">
        <v>5</v>
      </c>
      <c r="L13">
        <v>1</v>
      </c>
      <c r="M13">
        <v>1.5</v>
      </c>
      <c r="Q13">
        <v>8.0299999999999994</v>
      </c>
      <c r="R13">
        <v>9.4700000000000006</v>
      </c>
      <c r="S13">
        <v>2</v>
      </c>
      <c r="AB13" t="str">
        <f t="shared" si="0"/>
        <v>No Catch</v>
      </c>
      <c r="AC13">
        <f t="shared" si="1"/>
        <v>0</v>
      </c>
      <c r="AD13">
        <f t="shared" si="2"/>
        <v>1.4400000000000013</v>
      </c>
    </row>
    <row r="14" spans="1:31" x14ac:dyDescent="0.5">
      <c r="A14" s="1" t="s">
        <v>104</v>
      </c>
      <c r="B14" s="1">
        <v>1</v>
      </c>
      <c r="C14" s="1" t="s">
        <v>3</v>
      </c>
      <c r="D14" s="1">
        <v>30</v>
      </c>
      <c r="E14" s="1"/>
      <c r="F14" s="1" t="s">
        <v>156</v>
      </c>
      <c r="G14" s="1" t="s">
        <v>159</v>
      </c>
      <c r="K14">
        <v>5</v>
      </c>
      <c r="AB14" t="str">
        <f t="shared" si="0"/>
        <v>No Catch</v>
      </c>
      <c r="AC14">
        <f t="shared" si="1"/>
        <v>0</v>
      </c>
      <c r="AD14">
        <f t="shared" si="2"/>
        <v>0</v>
      </c>
    </row>
    <row r="15" spans="1:31" x14ac:dyDescent="0.5">
      <c r="A15" s="1"/>
      <c r="B15" s="1">
        <v>2</v>
      </c>
      <c r="C15" s="1" t="s">
        <v>3</v>
      </c>
      <c r="D15" s="1">
        <v>30</v>
      </c>
      <c r="E15" s="1"/>
      <c r="F15" s="1" t="s">
        <v>155</v>
      </c>
      <c r="G15" t="s">
        <v>175</v>
      </c>
      <c r="H15" s="1" t="s">
        <v>102</v>
      </c>
      <c r="I15">
        <v>11</v>
      </c>
      <c r="J15">
        <v>7</v>
      </c>
      <c r="K15">
        <v>5</v>
      </c>
      <c r="O15">
        <v>4.4800000000000004</v>
      </c>
      <c r="P15">
        <v>7.01</v>
      </c>
      <c r="S15">
        <v>5</v>
      </c>
      <c r="U15" t="s">
        <v>48</v>
      </c>
      <c r="V15" t="s">
        <v>32</v>
      </c>
      <c r="W15">
        <v>1</v>
      </c>
      <c r="X15">
        <v>81</v>
      </c>
      <c r="Y15" t="s">
        <v>153</v>
      </c>
      <c r="Z15" t="s">
        <v>160</v>
      </c>
      <c r="AA15" t="s">
        <v>161</v>
      </c>
      <c r="AB15">
        <f t="shared" si="0"/>
        <v>4</v>
      </c>
      <c r="AC15">
        <f t="shared" si="1"/>
        <v>2.5299999999999994</v>
      </c>
      <c r="AD15">
        <f t="shared" si="2"/>
        <v>0</v>
      </c>
    </row>
    <row r="16" spans="1:31" x14ac:dyDescent="0.5">
      <c r="A16" s="1"/>
      <c r="B16" s="1">
        <v>3</v>
      </c>
      <c r="C16" s="1" t="s">
        <v>3</v>
      </c>
      <c r="D16" s="1">
        <v>30</v>
      </c>
      <c r="E16" s="1"/>
      <c r="F16" s="1" t="s">
        <v>156</v>
      </c>
      <c r="G16" s="1" t="s">
        <v>99</v>
      </c>
      <c r="H16" s="1" t="s">
        <v>100</v>
      </c>
      <c r="I16">
        <v>11</v>
      </c>
      <c r="J16">
        <v>7</v>
      </c>
      <c r="K16">
        <v>5</v>
      </c>
      <c r="L16">
        <v>1</v>
      </c>
      <c r="M16">
        <v>-2</v>
      </c>
      <c r="Q16">
        <v>11.61</v>
      </c>
      <c r="R16">
        <v>12.11</v>
      </c>
      <c r="S16">
        <v>4</v>
      </c>
      <c r="AB16" t="str">
        <f t="shared" si="0"/>
        <v>No Catch</v>
      </c>
      <c r="AC16">
        <f t="shared" si="1"/>
        <v>0</v>
      </c>
      <c r="AD16">
        <f t="shared" si="2"/>
        <v>0.5</v>
      </c>
    </row>
    <row r="17" spans="1:31" x14ac:dyDescent="0.5">
      <c r="A17" s="1"/>
      <c r="B17" s="1">
        <v>4</v>
      </c>
      <c r="C17" s="1" t="s">
        <v>3</v>
      </c>
      <c r="D17" s="1">
        <v>30</v>
      </c>
      <c r="E17" s="1"/>
      <c r="F17" s="1" t="s">
        <v>155</v>
      </c>
      <c r="G17" s="1" t="s">
        <v>99</v>
      </c>
      <c r="H17" s="1" t="s">
        <v>47</v>
      </c>
      <c r="I17">
        <v>11</v>
      </c>
      <c r="J17">
        <v>6</v>
      </c>
      <c r="K17">
        <v>5</v>
      </c>
      <c r="L17">
        <v>1</v>
      </c>
      <c r="M17">
        <v>-0.5</v>
      </c>
      <c r="Q17">
        <v>9.2899999999999991</v>
      </c>
      <c r="R17">
        <v>10.5</v>
      </c>
      <c r="S17">
        <v>0</v>
      </c>
      <c r="AB17" t="str">
        <f t="shared" si="0"/>
        <v>No Catch</v>
      </c>
      <c r="AC17">
        <f t="shared" si="1"/>
        <v>0</v>
      </c>
      <c r="AD17">
        <f t="shared" si="2"/>
        <v>1.2100000000000009</v>
      </c>
    </row>
    <row r="18" spans="1:31" x14ac:dyDescent="0.5">
      <c r="A18" s="1" t="s">
        <v>104</v>
      </c>
      <c r="B18" s="1">
        <v>9</v>
      </c>
      <c r="C18" s="1" t="s">
        <v>3</v>
      </c>
      <c r="D18" s="1">
        <v>30</v>
      </c>
      <c r="E18" s="1"/>
      <c r="F18" s="1" t="s">
        <v>155</v>
      </c>
      <c r="G18" s="1" t="s">
        <v>99</v>
      </c>
      <c r="H18" s="1" t="s">
        <v>47</v>
      </c>
      <c r="I18">
        <v>11</v>
      </c>
      <c r="J18">
        <v>7</v>
      </c>
      <c r="K18">
        <v>5</v>
      </c>
      <c r="L18">
        <v>1</v>
      </c>
      <c r="M18">
        <v>2</v>
      </c>
      <c r="Q18">
        <v>17.93</v>
      </c>
      <c r="R18">
        <v>19.28</v>
      </c>
      <c r="S18">
        <v>5</v>
      </c>
      <c r="AB18" t="str">
        <f t="shared" si="0"/>
        <v>No Catch</v>
      </c>
      <c r="AC18">
        <f t="shared" si="1"/>
        <v>0</v>
      </c>
      <c r="AD18">
        <f t="shared" si="2"/>
        <v>1.3500000000000014</v>
      </c>
    </row>
    <row r="19" spans="1:31" x14ac:dyDescent="0.5">
      <c r="A19" s="1"/>
      <c r="B19" s="1">
        <v>10</v>
      </c>
      <c r="C19" s="1" t="s">
        <v>3</v>
      </c>
      <c r="D19" s="1">
        <v>30</v>
      </c>
      <c r="E19" s="1"/>
      <c r="F19" s="1" t="s">
        <v>155</v>
      </c>
      <c r="G19" t="s">
        <v>175</v>
      </c>
      <c r="H19" s="1" t="s">
        <v>102</v>
      </c>
      <c r="I19">
        <v>11</v>
      </c>
      <c r="J19">
        <v>6</v>
      </c>
      <c r="K19">
        <v>5</v>
      </c>
      <c r="O19">
        <v>7.92</v>
      </c>
      <c r="P19">
        <v>12.11</v>
      </c>
      <c r="S19">
        <v>0</v>
      </c>
      <c r="U19" t="s">
        <v>163</v>
      </c>
      <c r="V19" t="s">
        <v>30</v>
      </c>
      <c r="W19">
        <v>44</v>
      </c>
      <c r="X19">
        <v>4</v>
      </c>
      <c r="Y19" t="s">
        <v>153</v>
      </c>
      <c r="Z19" t="s">
        <v>151</v>
      </c>
      <c r="AA19" t="s">
        <v>162</v>
      </c>
      <c r="AB19" t="str">
        <f t="shared" si="0"/>
        <v>No Catch</v>
      </c>
      <c r="AC19">
        <f t="shared" si="1"/>
        <v>4.1899999999999995</v>
      </c>
      <c r="AD19">
        <f t="shared" si="2"/>
        <v>0</v>
      </c>
      <c r="AE19" t="s">
        <v>164</v>
      </c>
    </row>
    <row r="20" spans="1:31" x14ac:dyDescent="0.5">
      <c r="A20" s="1"/>
      <c r="B20" s="1">
        <v>11</v>
      </c>
      <c r="C20" s="1" t="s">
        <v>3</v>
      </c>
      <c r="D20" s="1">
        <v>30</v>
      </c>
      <c r="E20" s="1"/>
      <c r="F20" s="1" t="s">
        <v>155</v>
      </c>
      <c r="G20" s="1" t="s">
        <v>99</v>
      </c>
      <c r="H20" s="1" t="s">
        <v>100</v>
      </c>
      <c r="I20">
        <v>12</v>
      </c>
      <c r="J20">
        <v>7</v>
      </c>
      <c r="K20">
        <v>5</v>
      </c>
      <c r="L20">
        <v>1</v>
      </c>
      <c r="M20">
        <v>2</v>
      </c>
      <c r="Q20">
        <v>5.96</v>
      </c>
      <c r="R20">
        <v>6.99</v>
      </c>
      <c r="S20">
        <v>3</v>
      </c>
      <c r="AB20" t="str">
        <f t="shared" si="0"/>
        <v>No Catch</v>
      </c>
      <c r="AC20">
        <f t="shared" si="1"/>
        <v>0</v>
      </c>
      <c r="AD20">
        <f t="shared" si="2"/>
        <v>1.0300000000000002</v>
      </c>
    </row>
    <row r="21" spans="1:31" x14ac:dyDescent="0.5">
      <c r="A21" s="1"/>
      <c r="B21" s="1">
        <v>12</v>
      </c>
      <c r="C21" s="1" t="s">
        <v>3</v>
      </c>
      <c r="D21" s="1">
        <v>30</v>
      </c>
      <c r="E21" s="1"/>
      <c r="F21" s="1" t="s">
        <v>156</v>
      </c>
      <c r="G21" s="1" t="s">
        <v>99</v>
      </c>
      <c r="H21" s="1" t="s">
        <v>102</v>
      </c>
      <c r="I21">
        <v>11</v>
      </c>
      <c r="J21">
        <v>6</v>
      </c>
      <c r="K21">
        <v>5</v>
      </c>
      <c r="L21">
        <v>1</v>
      </c>
      <c r="M21">
        <v>4.5</v>
      </c>
      <c r="Q21">
        <v>3.27</v>
      </c>
      <c r="R21">
        <v>5.84</v>
      </c>
      <c r="S21">
        <v>7</v>
      </c>
      <c r="AB21" t="str">
        <f t="shared" si="0"/>
        <v>No Catch</v>
      </c>
      <c r="AC21">
        <f t="shared" si="1"/>
        <v>0</v>
      </c>
      <c r="AD21">
        <f t="shared" si="2"/>
        <v>2.57</v>
      </c>
    </row>
    <row r="22" spans="1:31" x14ac:dyDescent="0.5">
      <c r="A22" s="1" t="s">
        <v>104</v>
      </c>
      <c r="B22" s="1">
        <v>1</v>
      </c>
      <c r="C22" s="1" t="s">
        <v>3</v>
      </c>
      <c r="D22" s="1">
        <v>30</v>
      </c>
      <c r="E22" s="1"/>
      <c r="F22" s="1" t="s">
        <v>156</v>
      </c>
      <c r="G22" t="s">
        <v>175</v>
      </c>
      <c r="H22" s="1" t="s">
        <v>102</v>
      </c>
      <c r="I22">
        <v>11</v>
      </c>
      <c r="J22">
        <v>8</v>
      </c>
      <c r="K22">
        <v>5</v>
      </c>
      <c r="O22">
        <v>11.93</v>
      </c>
      <c r="P22">
        <v>13.38</v>
      </c>
      <c r="S22">
        <v>0</v>
      </c>
      <c r="U22" t="s">
        <v>163</v>
      </c>
      <c r="V22" t="s">
        <v>31</v>
      </c>
      <c r="W22">
        <v>0</v>
      </c>
      <c r="X22">
        <v>1</v>
      </c>
      <c r="Y22" t="s">
        <v>166</v>
      </c>
      <c r="Z22" t="s">
        <v>167</v>
      </c>
      <c r="AA22" t="s">
        <v>170</v>
      </c>
      <c r="AB22" t="str">
        <f t="shared" si="0"/>
        <v>No Catch</v>
      </c>
      <c r="AC22">
        <f t="shared" si="1"/>
        <v>1.4500000000000011</v>
      </c>
      <c r="AD22">
        <f t="shared" si="2"/>
        <v>0</v>
      </c>
    </row>
    <row r="23" spans="1:31" x14ac:dyDescent="0.5">
      <c r="A23" s="1" t="s">
        <v>104</v>
      </c>
      <c r="B23" s="1">
        <v>9</v>
      </c>
      <c r="C23" s="1" t="s">
        <v>3</v>
      </c>
      <c r="D23" s="1">
        <v>30</v>
      </c>
      <c r="E23" s="1"/>
      <c r="F23" s="1" t="s">
        <v>155</v>
      </c>
      <c r="G23" s="1" t="s">
        <v>99</v>
      </c>
      <c r="H23" s="1" t="s">
        <v>47</v>
      </c>
      <c r="I23">
        <v>11</v>
      </c>
      <c r="J23">
        <v>6</v>
      </c>
      <c r="K23">
        <v>5</v>
      </c>
      <c r="L23">
        <v>1</v>
      </c>
      <c r="M23">
        <v>0</v>
      </c>
      <c r="Q23">
        <v>8.1300000000000008</v>
      </c>
      <c r="R23">
        <v>9.75</v>
      </c>
      <c r="S23">
        <v>0</v>
      </c>
      <c r="AB23" t="str">
        <f t="shared" si="0"/>
        <v>No Catch</v>
      </c>
      <c r="AC23">
        <f t="shared" si="1"/>
        <v>0</v>
      </c>
      <c r="AD23">
        <f t="shared" si="2"/>
        <v>1.6199999999999992</v>
      </c>
    </row>
    <row r="24" spans="1:31" x14ac:dyDescent="0.5">
      <c r="A24" s="1"/>
      <c r="B24" s="1">
        <v>10</v>
      </c>
      <c r="C24" s="1" t="s">
        <v>3</v>
      </c>
      <c r="D24" s="1">
        <v>40</v>
      </c>
      <c r="E24" s="1"/>
      <c r="F24" s="1" t="s">
        <v>156</v>
      </c>
      <c r="G24" t="s">
        <v>175</v>
      </c>
      <c r="H24" s="1" t="s">
        <v>102</v>
      </c>
      <c r="I24">
        <v>10</v>
      </c>
      <c r="J24">
        <v>6</v>
      </c>
      <c r="K24">
        <v>5</v>
      </c>
      <c r="O24">
        <v>9.5</v>
      </c>
      <c r="P24">
        <v>10.68</v>
      </c>
      <c r="S24">
        <v>5</v>
      </c>
      <c r="U24" t="s">
        <v>48</v>
      </c>
      <c r="V24" t="s">
        <v>32</v>
      </c>
      <c r="W24">
        <v>-5</v>
      </c>
      <c r="X24">
        <v>1</v>
      </c>
      <c r="Y24" t="s">
        <v>166</v>
      </c>
      <c r="Z24" t="s">
        <v>168</v>
      </c>
      <c r="AA24" t="s">
        <v>169</v>
      </c>
      <c r="AB24">
        <f t="shared" si="0"/>
        <v>10</v>
      </c>
      <c r="AC24">
        <f t="shared" si="1"/>
        <v>1.1799999999999997</v>
      </c>
      <c r="AD24">
        <f t="shared" si="2"/>
        <v>0</v>
      </c>
    </row>
    <row r="25" spans="1:31" x14ac:dyDescent="0.5">
      <c r="A25" s="1"/>
      <c r="B25" s="1">
        <v>11</v>
      </c>
      <c r="C25" t="s">
        <v>228</v>
      </c>
      <c r="D25" s="1">
        <v>50</v>
      </c>
      <c r="E25" s="1"/>
      <c r="F25" s="1" t="s">
        <v>155</v>
      </c>
      <c r="G25" s="1" t="s">
        <v>99</v>
      </c>
      <c r="H25" s="1" t="s">
        <v>102</v>
      </c>
      <c r="I25">
        <v>12</v>
      </c>
      <c r="J25">
        <v>7</v>
      </c>
      <c r="K25">
        <v>5</v>
      </c>
      <c r="L25">
        <v>1</v>
      </c>
      <c r="M25">
        <v>-3</v>
      </c>
      <c r="Q25">
        <v>12.41</v>
      </c>
      <c r="R25">
        <v>13.17</v>
      </c>
      <c r="S25">
        <v>-2</v>
      </c>
      <c r="AB25" t="str">
        <f t="shared" si="0"/>
        <v>No Catch</v>
      </c>
      <c r="AC25">
        <f t="shared" si="1"/>
        <v>0</v>
      </c>
      <c r="AD25">
        <f t="shared" si="2"/>
        <v>0.75999999999999979</v>
      </c>
    </row>
    <row r="26" spans="1:31" x14ac:dyDescent="0.5">
      <c r="A26" s="1"/>
      <c r="B26" s="1">
        <v>12</v>
      </c>
      <c r="C26" s="1" t="s">
        <v>101</v>
      </c>
      <c r="D26" s="1">
        <v>40</v>
      </c>
      <c r="E26" s="1"/>
      <c r="F26" s="1" t="s">
        <v>156</v>
      </c>
      <c r="G26" t="s">
        <v>175</v>
      </c>
      <c r="H26" s="1" t="s">
        <v>47</v>
      </c>
      <c r="I26">
        <v>11</v>
      </c>
      <c r="J26">
        <v>8</v>
      </c>
      <c r="K26">
        <v>5</v>
      </c>
      <c r="O26">
        <v>7.4</v>
      </c>
      <c r="P26">
        <v>9.32</v>
      </c>
      <c r="S26">
        <v>23</v>
      </c>
      <c r="U26" t="s">
        <v>48</v>
      </c>
      <c r="V26" t="s">
        <v>32</v>
      </c>
      <c r="W26">
        <v>22</v>
      </c>
      <c r="X26">
        <v>4</v>
      </c>
      <c r="Y26" t="s">
        <v>166</v>
      </c>
      <c r="Z26" t="s">
        <v>151</v>
      </c>
      <c r="AA26" t="s">
        <v>172</v>
      </c>
      <c r="AB26">
        <f t="shared" si="0"/>
        <v>1</v>
      </c>
      <c r="AC26">
        <f t="shared" si="1"/>
        <v>1.92</v>
      </c>
      <c r="AD26">
        <f t="shared" si="2"/>
        <v>0</v>
      </c>
    </row>
    <row r="27" spans="1:31" x14ac:dyDescent="0.5">
      <c r="A27" s="1" t="s">
        <v>104</v>
      </c>
      <c r="B27" s="1">
        <v>1</v>
      </c>
      <c r="C27" s="1" t="s">
        <v>3</v>
      </c>
      <c r="D27" s="1">
        <v>30</v>
      </c>
      <c r="E27" s="1"/>
      <c r="F27" s="1" t="s">
        <v>155</v>
      </c>
      <c r="G27" s="1" t="s">
        <v>99</v>
      </c>
      <c r="H27" s="1" t="s">
        <v>100</v>
      </c>
      <c r="I27">
        <v>12</v>
      </c>
      <c r="J27">
        <v>7</v>
      </c>
      <c r="K27">
        <v>5</v>
      </c>
      <c r="L27">
        <v>1</v>
      </c>
      <c r="M27">
        <v>0</v>
      </c>
      <c r="Q27">
        <v>5.85</v>
      </c>
      <c r="R27">
        <v>7.04</v>
      </c>
      <c r="S27">
        <v>1</v>
      </c>
      <c r="AB27" t="str">
        <f t="shared" si="0"/>
        <v>No Catch</v>
      </c>
      <c r="AC27">
        <f t="shared" si="1"/>
        <v>0</v>
      </c>
      <c r="AD27">
        <f t="shared" si="2"/>
        <v>1.1900000000000004</v>
      </c>
    </row>
    <row r="28" spans="1:31" x14ac:dyDescent="0.5">
      <c r="A28" s="1"/>
      <c r="B28" s="1">
        <v>2</v>
      </c>
      <c r="C28" s="1" t="s">
        <v>3</v>
      </c>
      <c r="D28" s="1">
        <v>30</v>
      </c>
      <c r="E28" s="1"/>
      <c r="F28" s="1" t="s">
        <v>156</v>
      </c>
      <c r="G28" s="1" t="s">
        <v>99</v>
      </c>
      <c r="H28" s="1" t="s">
        <v>100</v>
      </c>
      <c r="I28">
        <v>12</v>
      </c>
      <c r="J28">
        <v>7</v>
      </c>
      <c r="K28">
        <v>5</v>
      </c>
      <c r="L28">
        <v>1</v>
      </c>
      <c r="M28">
        <v>3</v>
      </c>
      <c r="Q28">
        <v>11.01</v>
      </c>
      <c r="R28">
        <v>12.42</v>
      </c>
      <c r="S28">
        <v>10</v>
      </c>
      <c r="AB28" t="str">
        <f t="shared" si="0"/>
        <v>No Catch</v>
      </c>
      <c r="AC28">
        <f t="shared" si="1"/>
        <v>0</v>
      </c>
      <c r="AD28">
        <f t="shared" si="2"/>
        <v>1.4100000000000001</v>
      </c>
    </row>
    <row r="29" spans="1:31" x14ac:dyDescent="0.5">
      <c r="A29" s="1"/>
      <c r="B29" s="1">
        <v>3</v>
      </c>
      <c r="C29" s="1" t="s">
        <v>3</v>
      </c>
      <c r="D29" s="1">
        <v>30</v>
      </c>
      <c r="E29" s="1"/>
      <c r="F29" s="1" t="s">
        <v>156</v>
      </c>
      <c r="G29" t="s">
        <v>175</v>
      </c>
      <c r="H29" s="1" t="s">
        <v>102</v>
      </c>
      <c r="I29">
        <v>10</v>
      </c>
      <c r="J29">
        <v>7</v>
      </c>
      <c r="K29">
        <v>5</v>
      </c>
      <c r="O29">
        <v>9.6199999999999992</v>
      </c>
      <c r="P29">
        <v>11.19</v>
      </c>
      <c r="S29">
        <v>0</v>
      </c>
      <c r="U29" t="s">
        <v>48</v>
      </c>
      <c r="V29" t="s">
        <v>32</v>
      </c>
      <c r="W29">
        <v>-5</v>
      </c>
      <c r="X29">
        <v>1</v>
      </c>
      <c r="Y29" t="s">
        <v>166</v>
      </c>
      <c r="Z29" t="s">
        <v>173</v>
      </c>
      <c r="AA29" t="s">
        <v>169</v>
      </c>
      <c r="AB29">
        <f t="shared" si="0"/>
        <v>5</v>
      </c>
      <c r="AC29">
        <f t="shared" si="1"/>
        <v>1.5700000000000003</v>
      </c>
      <c r="AD29">
        <f t="shared" si="2"/>
        <v>0</v>
      </c>
    </row>
    <row r="30" spans="1:31" x14ac:dyDescent="0.5">
      <c r="A30" s="1"/>
      <c r="B30" s="1">
        <v>4</v>
      </c>
      <c r="C30" s="1" t="s">
        <v>3</v>
      </c>
      <c r="D30" s="1">
        <v>30</v>
      </c>
      <c r="E30" s="1"/>
      <c r="F30" s="1" t="s">
        <v>156</v>
      </c>
      <c r="G30" t="s">
        <v>174</v>
      </c>
      <c r="I30">
        <v>11</v>
      </c>
      <c r="J30">
        <v>7</v>
      </c>
      <c r="K30">
        <v>5</v>
      </c>
      <c r="O30">
        <v>12.68</v>
      </c>
      <c r="P30">
        <v>14.9</v>
      </c>
      <c r="S30">
        <v>-5</v>
      </c>
      <c r="AB30" t="str">
        <f t="shared" si="0"/>
        <v>No Catch</v>
      </c>
      <c r="AC30">
        <f t="shared" si="1"/>
        <v>2.2200000000000006</v>
      </c>
      <c r="AD30">
        <f t="shared" si="2"/>
        <v>0</v>
      </c>
    </row>
    <row r="31" spans="1:31" x14ac:dyDescent="0.5">
      <c r="A31" s="1" t="s">
        <v>104</v>
      </c>
      <c r="B31" s="1">
        <v>9</v>
      </c>
      <c r="C31" s="1" t="s">
        <v>3</v>
      </c>
      <c r="D31" s="1">
        <v>30</v>
      </c>
      <c r="E31" s="1"/>
      <c r="F31" s="1" t="s">
        <v>156</v>
      </c>
      <c r="G31" s="1" t="s">
        <v>99</v>
      </c>
      <c r="H31" s="1" t="s">
        <v>102</v>
      </c>
      <c r="I31">
        <v>10</v>
      </c>
      <c r="J31">
        <v>6</v>
      </c>
      <c r="K31">
        <v>5</v>
      </c>
      <c r="L31">
        <v>1</v>
      </c>
      <c r="M31">
        <v>-1.5</v>
      </c>
      <c r="Q31">
        <v>11.67</v>
      </c>
      <c r="R31">
        <v>13.25</v>
      </c>
      <c r="S31">
        <v>0</v>
      </c>
      <c r="AB31" t="str">
        <f t="shared" si="0"/>
        <v>No Catch</v>
      </c>
      <c r="AC31">
        <f t="shared" si="1"/>
        <v>0</v>
      </c>
      <c r="AD31">
        <f t="shared" si="2"/>
        <v>1.58</v>
      </c>
    </row>
    <row r="32" spans="1:31" x14ac:dyDescent="0.5">
      <c r="A32" s="1"/>
      <c r="B32" s="1">
        <v>10</v>
      </c>
      <c r="C32" s="1" t="s">
        <v>3</v>
      </c>
      <c r="D32" s="1">
        <v>30</v>
      </c>
      <c r="E32" s="1"/>
      <c r="F32" s="1" t="s">
        <v>156</v>
      </c>
      <c r="G32" s="1" t="s">
        <v>99</v>
      </c>
      <c r="H32" s="1" t="s">
        <v>47</v>
      </c>
      <c r="I32">
        <v>12</v>
      </c>
      <c r="J32">
        <v>7</v>
      </c>
      <c r="K32">
        <v>5</v>
      </c>
      <c r="L32">
        <v>1</v>
      </c>
      <c r="M32">
        <v>-3</v>
      </c>
      <c r="Q32">
        <v>17.11</v>
      </c>
      <c r="R32">
        <v>18.16</v>
      </c>
      <c r="S32">
        <v>3</v>
      </c>
      <c r="AB32" t="str">
        <f t="shared" si="0"/>
        <v>No Catch</v>
      </c>
      <c r="AC32">
        <f t="shared" si="1"/>
        <v>0</v>
      </c>
      <c r="AD32">
        <f t="shared" si="2"/>
        <v>1.0500000000000007</v>
      </c>
    </row>
    <row r="33" spans="1:30" x14ac:dyDescent="0.5">
      <c r="A33" s="1"/>
      <c r="B33" s="1">
        <v>11</v>
      </c>
      <c r="C33" s="1" t="s">
        <v>3</v>
      </c>
      <c r="D33" s="1">
        <v>30</v>
      </c>
      <c r="E33" s="1"/>
      <c r="F33" s="1" t="s">
        <v>155</v>
      </c>
      <c r="G33" s="1" t="s">
        <v>175</v>
      </c>
      <c r="H33" s="1" t="s">
        <v>47</v>
      </c>
      <c r="I33">
        <v>12</v>
      </c>
      <c r="J33">
        <v>7</v>
      </c>
      <c r="K33">
        <v>5</v>
      </c>
      <c r="O33">
        <v>10.33</v>
      </c>
      <c r="P33">
        <v>13.69</v>
      </c>
      <c r="S33">
        <v>6</v>
      </c>
      <c r="U33" t="s">
        <v>48</v>
      </c>
      <c r="V33" t="s">
        <v>32</v>
      </c>
      <c r="W33">
        <v>4</v>
      </c>
      <c r="X33">
        <v>87</v>
      </c>
      <c r="Y33" t="s">
        <v>153</v>
      </c>
      <c r="Z33" t="s">
        <v>176</v>
      </c>
      <c r="AA33" t="s">
        <v>177</v>
      </c>
      <c r="AB33">
        <f t="shared" si="0"/>
        <v>2</v>
      </c>
      <c r="AC33">
        <f t="shared" si="1"/>
        <v>3.3599999999999994</v>
      </c>
      <c r="AD33">
        <f t="shared" si="2"/>
        <v>0</v>
      </c>
    </row>
    <row r="34" spans="1:30" x14ac:dyDescent="0.5">
      <c r="A34" s="1"/>
      <c r="B34" s="1">
        <v>12</v>
      </c>
      <c r="C34" s="1" t="s">
        <v>3</v>
      </c>
      <c r="D34" s="1">
        <v>30</v>
      </c>
      <c r="E34" s="1"/>
      <c r="F34" s="1" t="s">
        <v>155</v>
      </c>
      <c r="G34" s="1" t="s">
        <v>175</v>
      </c>
      <c r="H34" s="1" t="s">
        <v>102</v>
      </c>
      <c r="I34">
        <v>11</v>
      </c>
      <c r="J34">
        <v>7</v>
      </c>
      <c r="K34">
        <v>5</v>
      </c>
      <c r="O34">
        <v>9.2200000000000006</v>
      </c>
      <c r="P34">
        <v>12.14</v>
      </c>
      <c r="S34">
        <v>0</v>
      </c>
      <c r="U34" t="s">
        <v>163</v>
      </c>
      <c r="V34" t="s">
        <v>29</v>
      </c>
      <c r="W34">
        <v>40</v>
      </c>
      <c r="X34">
        <v>6</v>
      </c>
      <c r="Y34" t="s">
        <v>153</v>
      </c>
      <c r="Z34" t="s">
        <v>178</v>
      </c>
      <c r="AA34" t="s">
        <v>179</v>
      </c>
      <c r="AB34" t="str">
        <f t="shared" si="0"/>
        <v>No Catch</v>
      </c>
      <c r="AC34">
        <f t="shared" si="1"/>
        <v>2.92</v>
      </c>
      <c r="AD34">
        <f t="shared" si="2"/>
        <v>0</v>
      </c>
    </row>
    <row r="35" spans="1:30" x14ac:dyDescent="0.5">
      <c r="A35" s="1" t="s">
        <v>104</v>
      </c>
      <c r="B35" s="1">
        <v>1</v>
      </c>
      <c r="C35" s="1" t="s">
        <v>3</v>
      </c>
      <c r="D35" s="1">
        <v>30</v>
      </c>
      <c r="E35" s="1"/>
      <c r="F35" s="1" t="s">
        <v>156</v>
      </c>
      <c r="G35" s="1" t="s">
        <v>175</v>
      </c>
      <c r="H35" s="1" t="s">
        <v>47</v>
      </c>
      <c r="I35">
        <v>11</v>
      </c>
      <c r="J35">
        <v>6</v>
      </c>
      <c r="K35">
        <v>5</v>
      </c>
      <c r="O35">
        <v>4.66</v>
      </c>
      <c r="P35">
        <v>7.66</v>
      </c>
      <c r="S35">
        <v>0</v>
      </c>
      <c r="U35" t="s">
        <v>163</v>
      </c>
      <c r="V35" t="s">
        <v>31</v>
      </c>
      <c r="W35">
        <v>4</v>
      </c>
      <c r="X35">
        <v>6</v>
      </c>
      <c r="Y35" t="s">
        <v>166</v>
      </c>
      <c r="Z35" t="s">
        <v>178</v>
      </c>
      <c r="AA35" t="s">
        <v>180</v>
      </c>
      <c r="AB35" t="str">
        <f t="shared" si="0"/>
        <v>No Catch</v>
      </c>
      <c r="AC35">
        <f t="shared" si="1"/>
        <v>3</v>
      </c>
      <c r="AD35">
        <f t="shared" si="2"/>
        <v>0</v>
      </c>
    </row>
    <row r="36" spans="1:30" x14ac:dyDescent="0.5">
      <c r="A36" s="1"/>
      <c r="B36" s="1">
        <v>2</v>
      </c>
      <c r="C36" s="1" t="s">
        <v>3</v>
      </c>
      <c r="D36" s="1">
        <v>35</v>
      </c>
      <c r="E36" s="1"/>
      <c r="F36" s="1" t="s">
        <v>156</v>
      </c>
      <c r="G36" s="1" t="s">
        <v>99</v>
      </c>
      <c r="H36" s="1" t="s">
        <v>102</v>
      </c>
      <c r="I36">
        <v>11</v>
      </c>
      <c r="J36">
        <v>6</v>
      </c>
      <c r="K36">
        <v>5</v>
      </c>
      <c r="L36">
        <v>1</v>
      </c>
      <c r="M36">
        <v>1</v>
      </c>
      <c r="Q36">
        <v>9.52</v>
      </c>
      <c r="R36">
        <v>11.6</v>
      </c>
      <c r="S36">
        <v>3</v>
      </c>
      <c r="AB36" t="str">
        <f t="shared" si="0"/>
        <v>No Catch</v>
      </c>
      <c r="AC36">
        <f t="shared" si="1"/>
        <v>0</v>
      </c>
      <c r="AD36">
        <f t="shared" si="2"/>
        <v>2.08</v>
      </c>
    </row>
    <row r="37" spans="1:30" x14ac:dyDescent="0.5">
      <c r="A37" s="1"/>
      <c r="B37" s="1">
        <v>3</v>
      </c>
      <c r="C37" s="1" t="s">
        <v>3</v>
      </c>
      <c r="D37" s="1">
        <v>35</v>
      </c>
      <c r="E37" s="1"/>
      <c r="F37" s="1" t="s">
        <v>156</v>
      </c>
      <c r="G37" s="1" t="s">
        <v>175</v>
      </c>
      <c r="H37" s="1" t="s">
        <v>102</v>
      </c>
      <c r="I37">
        <v>10</v>
      </c>
      <c r="J37">
        <v>6</v>
      </c>
      <c r="K37">
        <v>5</v>
      </c>
      <c r="O37">
        <v>9.8699999999999992</v>
      </c>
      <c r="P37">
        <v>12.5</v>
      </c>
      <c r="S37">
        <v>7</v>
      </c>
      <c r="U37" t="s">
        <v>48</v>
      </c>
      <c r="V37" t="s">
        <v>32</v>
      </c>
      <c r="W37">
        <v>7</v>
      </c>
      <c r="X37">
        <v>83</v>
      </c>
      <c r="Y37" t="s">
        <v>166</v>
      </c>
      <c r="Z37" t="s">
        <v>178</v>
      </c>
      <c r="AA37" t="s">
        <v>181</v>
      </c>
      <c r="AB37">
        <f t="shared" si="0"/>
        <v>0</v>
      </c>
      <c r="AC37">
        <f t="shared" si="1"/>
        <v>2.6300000000000008</v>
      </c>
      <c r="AD37">
        <f t="shared" si="2"/>
        <v>0</v>
      </c>
    </row>
    <row r="38" spans="1:30" x14ac:dyDescent="0.5">
      <c r="A38" s="1"/>
      <c r="B38" s="1">
        <v>4</v>
      </c>
      <c r="C38" s="1" t="s">
        <v>3</v>
      </c>
      <c r="D38" s="1">
        <v>35</v>
      </c>
      <c r="E38" s="1"/>
      <c r="F38" s="1" t="s">
        <v>156</v>
      </c>
      <c r="G38" s="1" t="s">
        <v>159</v>
      </c>
      <c r="K38">
        <v>5</v>
      </c>
      <c r="AB38" t="str">
        <f t="shared" si="0"/>
        <v>No Catch</v>
      </c>
      <c r="AC38">
        <f t="shared" si="1"/>
        <v>0</v>
      </c>
      <c r="AD38">
        <f t="shared" si="2"/>
        <v>0</v>
      </c>
    </row>
    <row r="39" spans="1:30" x14ac:dyDescent="0.5">
      <c r="A39" s="1" t="s">
        <v>104</v>
      </c>
      <c r="B39" s="1">
        <v>9</v>
      </c>
      <c r="C39" s="1" t="s">
        <v>3</v>
      </c>
      <c r="D39" s="1">
        <v>35</v>
      </c>
      <c r="E39" s="1"/>
      <c r="F39" s="1" t="s">
        <v>165</v>
      </c>
      <c r="G39" s="1" t="s">
        <v>99</v>
      </c>
      <c r="H39" s="1" t="s">
        <v>100</v>
      </c>
      <c r="I39">
        <v>10</v>
      </c>
      <c r="J39">
        <v>6</v>
      </c>
      <c r="K39">
        <v>5</v>
      </c>
      <c r="L39">
        <v>1</v>
      </c>
      <c r="M39">
        <v>3.5</v>
      </c>
      <c r="Q39">
        <v>16.5</v>
      </c>
      <c r="R39">
        <v>18.25</v>
      </c>
      <c r="S39">
        <v>4</v>
      </c>
      <c r="AB39" t="str">
        <f t="shared" si="0"/>
        <v>No Catch</v>
      </c>
      <c r="AC39">
        <f t="shared" si="1"/>
        <v>0</v>
      </c>
      <c r="AD39">
        <f t="shared" si="2"/>
        <v>1.75</v>
      </c>
    </row>
    <row r="40" spans="1:30" x14ac:dyDescent="0.5">
      <c r="A40" s="1"/>
      <c r="B40" s="1">
        <v>10</v>
      </c>
      <c r="C40" s="1" t="s">
        <v>3</v>
      </c>
      <c r="D40" s="1">
        <v>35</v>
      </c>
      <c r="E40" s="1"/>
      <c r="F40" s="1" t="s">
        <v>156</v>
      </c>
      <c r="G40" s="1" t="s">
        <v>99</v>
      </c>
      <c r="H40" s="1" t="s">
        <v>47</v>
      </c>
      <c r="I40">
        <v>11</v>
      </c>
      <c r="J40">
        <v>6</v>
      </c>
      <c r="K40">
        <v>5</v>
      </c>
      <c r="L40">
        <v>1</v>
      </c>
      <c r="M40">
        <v>-1</v>
      </c>
      <c r="Q40">
        <v>10.92</v>
      </c>
      <c r="R40">
        <v>12.73</v>
      </c>
      <c r="S40">
        <v>2</v>
      </c>
      <c r="AB40" t="str">
        <f t="shared" si="0"/>
        <v>No Catch</v>
      </c>
      <c r="AC40">
        <f t="shared" si="1"/>
        <v>0</v>
      </c>
      <c r="AD40">
        <f t="shared" si="2"/>
        <v>1.8100000000000005</v>
      </c>
    </row>
    <row r="41" spans="1:30" x14ac:dyDescent="0.5">
      <c r="A41" s="1"/>
      <c r="B41" s="1">
        <v>11</v>
      </c>
      <c r="C41" s="1" t="s">
        <v>3</v>
      </c>
      <c r="D41" s="1">
        <v>35</v>
      </c>
      <c r="E41" s="1"/>
      <c r="F41" s="1" t="s">
        <v>155</v>
      </c>
      <c r="G41" s="1" t="s">
        <v>182</v>
      </c>
      <c r="I41">
        <v>11</v>
      </c>
      <c r="J41">
        <v>6</v>
      </c>
      <c r="K41">
        <v>5</v>
      </c>
      <c r="L41">
        <v>5</v>
      </c>
      <c r="S41">
        <v>0</v>
      </c>
      <c r="AB41" t="str">
        <f t="shared" si="0"/>
        <v>No Catch</v>
      </c>
      <c r="AC41">
        <f t="shared" si="1"/>
        <v>0</v>
      </c>
      <c r="AD41">
        <f t="shared" si="2"/>
        <v>0</v>
      </c>
    </row>
    <row r="42" spans="1:30" x14ac:dyDescent="0.5">
      <c r="A42" s="1"/>
      <c r="B42" s="1">
        <v>12</v>
      </c>
      <c r="C42" s="1" t="s">
        <v>3</v>
      </c>
      <c r="D42" s="1">
        <v>35</v>
      </c>
      <c r="E42" s="1"/>
      <c r="F42" s="1" t="s">
        <v>156</v>
      </c>
      <c r="G42" s="1" t="s">
        <v>175</v>
      </c>
      <c r="H42" s="1" t="s">
        <v>102</v>
      </c>
      <c r="I42">
        <v>11</v>
      </c>
      <c r="J42">
        <v>7</v>
      </c>
      <c r="K42">
        <v>5</v>
      </c>
      <c r="O42">
        <v>11.64</v>
      </c>
      <c r="P42">
        <v>13.05</v>
      </c>
      <c r="S42">
        <v>3</v>
      </c>
      <c r="U42" t="s">
        <v>48</v>
      </c>
      <c r="V42" t="s">
        <v>32</v>
      </c>
      <c r="W42">
        <v>-1</v>
      </c>
      <c r="X42">
        <v>1</v>
      </c>
      <c r="Y42" t="s">
        <v>166</v>
      </c>
      <c r="Z42" t="s">
        <v>173</v>
      </c>
      <c r="AA42" t="s">
        <v>169</v>
      </c>
      <c r="AB42">
        <f t="shared" si="0"/>
        <v>4</v>
      </c>
      <c r="AC42">
        <f t="shared" si="1"/>
        <v>1.4100000000000001</v>
      </c>
      <c r="AD42">
        <f t="shared" si="2"/>
        <v>0</v>
      </c>
    </row>
    <row r="43" spans="1:30" x14ac:dyDescent="0.5">
      <c r="A43" s="1" t="s">
        <v>104</v>
      </c>
      <c r="B43" s="1">
        <v>16</v>
      </c>
      <c r="C43" s="1" t="s">
        <v>3</v>
      </c>
      <c r="D43" s="1">
        <v>35</v>
      </c>
      <c r="E43" s="1"/>
      <c r="F43" s="1" t="s">
        <v>156</v>
      </c>
      <c r="G43" s="1" t="s">
        <v>175</v>
      </c>
      <c r="H43" s="1" t="s">
        <v>102</v>
      </c>
      <c r="I43">
        <v>11</v>
      </c>
      <c r="J43">
        <v>6</v>
      </c>
      <c r="K43">
        <v>5</v>
      </c>
      <c r="O43">
        <v>7.1</v>
      </c>
      <c r="P43">
        <v>9.3699999999999992</v>
      </c>
      <c r="S43">
        <v>0</v>
      </c>
      <c r="U43" t="s">
        <v>163</v>
      </c>
      <c r="V43" t="s">
        <v>29</v>
      </c>
      <c r="W43">
        <v>35</v>
      </c>
      <c r="X43">
        <v>6</v>
      </c>
      <c r="Y43" t="s">
        <v>166</v>
      </c>
      <c r="Z43" t="s">
        <v>178</v>
      </c>
      <c r="AA43" t="s">
        <v>179</v>
      </c>
      <c r="AB43" t="str">
        <f t="shared" si="0"/>
        <v>No Catch</v>
      </c>
      <c r="AC43">
        <f t="shared" si="1"/>
        <v>2.2699999999999996</v>
      </c>
      <c r="AD43">
        <f t="shared" si="2"/>
        <v>0</v>
      </c>
    </row>
    <row r="44" spans="1:30" x14ac:dyDescent="0.5">
      <c r="A44" s="1" t="s">
        <v>104</v>
      </c>
      <c r="B44" s="1">
        <v>1</v>
      </c>
      <c r="C44" s="1" t="s">
        <v>3</v>
      </c>
      <c r="D44" s="1">
        <v>30</v>
      </c>
      <c r="E44" s="1"/>
      <c r="F44" s="1" t="s">
        <v>156</v>
      </c>
      <c r="G44" s="1" t="s">
        <v>99</v>
      </c>
      <c r="H44" s="1" t="s">
        <v>102</v>
      </c>
      <c r="I44">
        <v>10</v>
      </c>
      <c r="J44">
        <v>6</v>
      </c>
      <c r="K44">
        <v>5</v>
      </c>
      <c r="L44">
        <v>1</v>
      </c>
      <c r="M44">
        <v>-4</v>
      </c>
      <c r="Q44">
        <v>16.239999999999998</v>
      </c>
      <c r="R44">
        <v>17.57</v>
      </c>
      <c r="S44">
        <v>-2</v>
      </c>
      <c r="AB44" t="str">
        <f t="shared" si="0"/>
        <v>No Catch</v>
      </c>
      <c r="AC44">
        <f t="shared" si="1"/>
        <v>0</v>
      </c>
      <c r="AD44">
        <f t="shared" si="2"/>
        <v>1.3300000000000018</v>
      </c>
    </row>
    <row r="45" spans="1:30" x14ac:dyDescent="0.5">
      <c r="A45" s="1"/>
      <c r="B45" s="1">
        <v>2</v>
      </c>
      <c r="C45" s="1" t="s">
        <v>3</v>
      </c>
      <c r="D45" s="1">
        <v>30</v>
      </c>
      <c r="E45" s="1"/>
      <c r="F45" s="1" t="s">
        <v>156</v>
      </c>
      <c r="G45" s="1" t="s">
        <v>175</v>
      </c>
      <c r="H45" s="1" t="s">
        <v>102</v>
      </c>
      <c r="I45">
        <v>10</v>
      </c>
      <c r="J45">
        <v>6</v>
      </c>
      <c r="K45">
        <v>5</v>
      </c>
      <c r="O45">
        <v>11.15</v>
      </c>
      <c r="P45">
        <v>12.35</v>
      </c>
      <c r="S45">
        <v>6</v>
      </c>
      <c r="U45" t="s">
        <v>48</v>
      </c>
      <c r="V45" t="s">
        <v>32</v>
      </c>
      <c r="W45">
        <v>-2.5</v>
      </c>
      <c r="X45">
        <v>4</v>
      </c>
      <c r="Y45" t="s">
        <v>153</v>
      </c>
      <c r="Z45" t="s">
        <v>151</v>
      </c>
      <c r="AA45" t="s">
        <v>169</v>
      </c>
      <c r="AB45">
        <f t="shared" si="0"/>
        <v>8.5</v>
      </c>
      <c r="AC45">
        <f t="shared" si="1"/>
        <v>1.1999999999999993</v>
      </c>
      <c r="AD45">
        <f t="shared" si="2"/>
        <v>0</v>
      </c>
    </row>
    <row r="46" spans="1:30" x14ac:dyDescent="0.5">
      <c r="A46" s="1"/>
      <c r="B46" s="1">
        <v>3</v>
      </c>
      <c r="C46" s="1" t="s">
        <v>3</v>
      </c>
      <c r="D46" s="1">
        <v>30</v>
      </c>
      <c r="E46" s="1"/>
      <c r="F46" s="1" t="s">
        <v>156</v>
      </c>
      <c r="G46" s="1" t="s">
        <v>99</v>
      </c>
      <c r="H46" s="1" t="s">
        <v>102</v>
      </c>
      <c r="I46">
        <v>11</v>
      </c>
      <c r="J46">
        <v>7</v>
      </c>
      <c r="K46">
        <v>5</v>
      </c>
      <c r="L46">
        <v>5</v>
      </c>
      <c r="M46">
        <v>-2</v>
      </c>
      <c r="Q46">
        <v>9.4499999999999993</v>
      </c>
      <c r="R46">
        <v>11.6</v>
      </c>
      <c r="S46">
        <v>-1</v>
      </c>
      <c r="AB46" t="str">
        <f t="shared" si="0"/>
        <v>No Catch</v>
      </c>
      <c r="AC46">
        <f t="shared" si="1"/>
        <v>0</v>
      </c>
      <c r="AD46">
        <f t="shared" si="2"/>
        <v>2.1500000000000004</v>
      </c>
    </row>
    <row r="47" spans="1:30" x14ac:dyDescent="0.5">
      <c r="A47" s="1"/>
      <c r="B47" s="1">
        <v>4</v>
      </c>
      <c r="C47" s="1" t="s">
        <v>3</v>
      </c>
      <c r="D47" s="1">
        <v>30</v>
      </c>
      <c r="E47" s="1"/>
      <c r="F47" s="1" t="s">
        <v>155</v>
      </c>
      <c r="G47" s="1" t="s">
        <v>175</v>
      </c>
      <c r="H47" s="1" t="s">
        <v>102</v>
      </c>
      <c r="I47">
        <v>11</v>
      </c>
      <c r="J47">
        <v>6</v>
      </c>
      <c r="K47">
        <v>5</v>
      </c>
      <c r="O47">
        <v>1.17</v>
      </c>
      <c r="P47">
        <v>3.92</v>
      </c>
      <c r="S47">
        <v>2</v>
      </c>
      <c r="U47" t="s">
        <v>48</v>
      </c>
      <c r="V47" t="s">
        <v>30</v>
      </c>
      <c r="W47">
        <v>1</v>
      </c>
      <c r="X47">
        <v>87</v>
      </c>
      <c r="Y47" t="s">
        <v>153</v>
      </c>
      <c r="Z47" t="s">
        <v>183</v>
      </c>
      <c r="AA47" t="s">
        <v>161</v>
      </c>
      <c r="AB47">
        <f t="shared" si="0"/>
        <v>1</v>
      </c>
      <c r="AC47">
        <f t="shared" si="1"/>
        <v>2.75</v>
      </c>
      <c r="AD47">
        <f t="shared" si="2"/>
        <v>0</v>
      </c>
    </row>
    <row r="48" spans="1:30" x14ac:dyDescent="0.5">
      <c r="A48" s="1" t="s">
        <v>104</v>
      </c>
      <c r="B48" s="1">
        <v>9</v>
      </c>
      <c r="C48" s="1" t="s">
        <v>3</v>
      </c>
      <c r="D48" s="1">
        <v>30</v>
      </c>
      <c r="E48" s="1"/>
      <c r="F48" s="1" t="s">
        <v>156</v>
      </c>
      <c r="G48" s="1" t="s">
        <v>175</v>
      </c>
      <c r="H48" s="1" t="s">
        <v>102</v>
      </c>
      <c r="I48">
        <v>10</v>
      </c>
      <c r="J48">
        <v>6</v>
      </c>
      <c r="K48">
        <v>5</v>
      </c>
      <c r="O48">
        <v>6.7</v>
      </c>
      <c r="P48">
        <v>8.5500000000000007</v>
      </c>
      <c r="S48">
        <v>20</v>
      </c>
      <c r="U48" t="s">
        <v>48</v>
      </c>
      <c r="V48" t="s">
        <v>32</v>
      </c>
      <c r="W48">
        <v>-2</v>
      </c>
      <c r="X48">
        <v>1</v>
      </c>
      <c r="Y48" t="s">
        <v>166</v>
      </c>
      <c r="Z48" t="s">
        <v>173</v>
      </c>
      <c r="AA48" t="s">
        <v>184</v>
      </c>
      <c r="AB48">
        <f t="shared" si="0"/>
        <v>22</v>
      </c>
      <c r="AC48">
        <f t="shared" si="1"/>
        <v>1.8500000000000005</v>
      </c>
      <c r="AD48">
        <f t="shared" si="2"/>
        <v>0</v>
      </c>
    </row>
    <row r="49" spans="1:31" x14ac:dyDescent="0.5">
      <c r="A49" s="1"/>
      <c r="B49" s="1">
        <v>10</v>
      </c>
      <c r="C49" s="1" t="s">
        <v>3</v>
      </c>
      <c r="D49" s="1">
        <v>30</v>
      </c>
      <c r="E49" s="1"/>
      <c r="F49" s="1" t="s">
        <v>156</v>
      </c>
      <c r="G49" s="1" t="s">
        <v>99</v>
      </c>
      <c r="H49" s="1" t="s">
        <v>47</v>
      </c>
      <c r="I49">
        <v>10</v>
      </c>
      <c r="J49">
        <v>6</v>
      </c>
      <c r="K49">
        <v>5</v>
      </c>
      <c r="L49">
        <v>1</v>
      </c>
      <c r="M49">
        <v>1</v>
      </c>
      <c r="Q49">
        <v>9.4</v>
      </c>
      <c r="R49">
        <v>11.85</v>
      </c>
      <c r="S49">
        <v>2</v>
      </c>
      <c r="AB49" t="str">
        <f t="shared" si="0"/>
        <v>No Catch</v>
      </c>
      <c r="AC49">
        <f t="shared" si="1"/>
        <v>0</v>
      </c>
      <c r="AD49">
        <f t="shared" si="2"/>
        <v>2.4499999999999993</v>
      </c>
    </row>
    <row r="50" spans="1:31" x14ac:dyDescent="0.5">
      <c r="A50" s="1"/>
      <c r="B50" s="1">
        <v>11</v>
      </c>
      <c r="C50" s="1" t="s">
        <v>3</v>
      </c>
      <c r="D50" s="1">
        <v>30</v>
      </c>
      <c r="E50" s="1"/>
      <c r="F50" s="1" t="s">
        <v>155</v>
      </c>
      <c r="G50" s="1" t="s">
        <v>175</v>
      </c>
      <c r="H50" s="1" t="s">
        <v>102</v>
      </c>
      <c r="I50">
        <v>11</v>
      </c>
      <c r="J50">
        <v>6</v>
      </c>
      <c r="K50">
        <v>5</v>
      </c>
      <c r="O50">
        <v>7.29</v>
      </c>
      <c r="P50">
        <v>11.22</v>
      </c>
      <c r="S50">
        <v>3</v>
      </c>
      <c r="U50" t="s">
        <v>48</v>
      </c>
      <c r="V50" t="s">
        <v>32</v>
      </c>
      <c r="W50">
        <v>1</v>
      </c>
      <c r="X50">
        <v>87</v>
      </c>
      <c r="Y50" t="s">
        <v>153</v>
      </c>
      <c r="Z50" t="s">
        <v>183</v>
      </c>
      <c r="AA50" t="s">
        <v>161</v>
      </c>
      <c r="AB50">
        <f t="shared" si="0"/>
        <v>2</v>
      </c>
      <c r="AC50">
        <f t="shared" si="1"/>
        <v>3.9300000000000006</v>
      </c>
      <c r="AD50">
        <f t="shared" si="2"/>
        <v>0</v>
      </c>
    </row>
    <row r="51" spans="1:31" x14ac:dyDescent="0.5">
      <c r="A51" s="1"/>
      <c r="B51" s="1">
        <v>12</v>
      </c>
      <c r="C51" s="1" t="s">
        <v>3</v>
      </c>
      <c r="D51" s="1">
        <v>30</v>
      </c>
      <c r="E51" s="1"/>
      <c r="F51" s="1" t="s">
        <v>156</v>
      </c>
      <c r="G51" s="1" t="s">
        <v>175</v>
      </c>
      <c r="H51" s="1" t="s">
        <v>102</v>
      </c>
      <c r="I51">
        <v>11</v>
      </c>
      <c r="J51">
        <v>5</v>
      </c>
      <c r="K51">
        <v>5</v>
      </c>
      <c r="O51">
        <v>10.41</v>
      </c>
      <c r="P51">
        <v>11.56</v>
      </c>
      <c r="S51">
        <v>0</v>
      </c>
      <c r="U51" t="s">
        <v>163</v>
      </c>
      <c r="V51" t="s">
        <v>28</v>
      </c>
      <c r="W51">
        <v>-3</v>
      </c>
      <c r="X51">
        <v>4</v>
      </c>
      <c r="Y51" t="s">
        <v>153</v>
      </c>
      <c r="Z51" t="s">
        <v>151</v>
      </c>
      <c r="AA51" t="s">
        <v>185</v>
      </c>
      <c r="AB51" t="str">
        <f t="shared" si="0"/>
        <v>No Catch</v>
      </c>
      <c r="AC51">
        <f t="shared" si="1"/>
        <v>1.1500000000000004</v>
      </c>
      <c r="AD51">
        <f t="shared" si="2"/>
        <v>0</v>
      </c>
    </row>
    <row r="52" spans="1:31" x14ac:dyDescent="0.5">
      <c r="A52" s="1" t="s">
        <v>186</v>
      </c>
      <c r="B52" s="1">
        <v>1</v>
      </c>
      <c r="C52" s="1" t="s">
        <v>3</v>
      </c>
      <c r="D52" s="1">
        <v>30</v>
      </c>
      <c r="E52" s="1"/>
      <c r="F52" s="1" t="s">
        <v>156</v>
      </c>
      <c r="G52" s="1" t="s">
        <v>99</v>
      </c>
      <c r="H52" s="1" t="s">
        <v>100</v>
      </c>
      <c r="I52">
        <v>11</v>
      </c>
      <c r="J52">
        <v>6</v>
      </c>
      <c r="K52">
        <v>5</v>
      </c>
      <c r="L52">
        <v>1</v>
      </c>
      <c r="M52">
        <v>-3</v>
      </c>
      <c r="Q52">
        <v>8.4</v>
      </c>
      <c r="R52">
        <v>8.6199999999999992</v>
      </c>
      <c r="S52">
        <v>-3</v>
      </c>
      <c r="AB52" t="str">
        <f t="shared" si="0"/>
        <v>No Catch</v>
      </c>
      <c r="AC52">
        <f t="shared" si="1"/>
        <v>0</v>
      </c>
      <c r="AD52">
        <f t="shared" si="2"/>
        <v>0.21999999999999886</v>
      </c>
    </row>
    <row r="53" spans="1:31" x14ac:dyDescent="0.5">
      <c r="A53" s="1"/>
      <c r="B53" s="1">
        <v>2</v>
      </c>
      <c r="C53" s="1" t="s">
        <v>3</v>
      </c>
      <c r="D53" s="1">
        <v>30</v>
      </c>
      <c r="E53" s="1"/>
      <c r="F53" s="1" t="s">
        <v>156</v>
      </c>
      <c r="G53" s="1" t="s">
        <v>175</v>
      </c>
      <c r="H53" s="1" t="s">
        <v>100</v>
      </c>
      <c r="I53">
        <v>11</v>
      </c>
      <c r="J53">
        <v>6</v>
      </c>
      <c r="K53">
        <v>5</v>
      </c>
      <c r="O53">
        <v>7.78</v>
      </c>
      <c r="P53">
        <v>10.01</v>
      </c>
      <c r="S53">
        <v>11</v>
      </c>
      <c r="U53" t="s">
        <v>48</v>
      </c>
      <c r="V53" t="s">
        <v>32</v>
      </c>
      <c r="W53">
        <v>-2</v>
      </c>
      <c r="X53">
        <v>1</v>
      </c>
      <c r="Y53" t="s">
        <v>166</v>
      </c>
      <c r="Z53" t="s">
        <v>173</v>
      </c>
      <c r="AA53" t="s">
        <v>184</v>
      </c>
      <c r="AB53">
        <f t="shared" si="0"/>
        <v>13</v>
      </c>
      <c r="AC53">
        <f t="shared" si="1"/>
        <v>2.2299999999999995</v>
      </c>
      <c r="AD53">
        <f t="shared" si="2"/>
        <v>0</v>
      </c>
    </row>
    <row r="54" spans="1:31" x14ac:dyDescent="0.5">
      <c r="A54" s="1"/>
      <c r="B54" s="1">
        <v>3</v>
      </c>
      <c r="C54" s="1" t="s">
        <v>3</v>
      </c>
      <c r="D54" s="1">
        <v>30</v>
      </c>
      <c r="E54" s="1"/>
      <c r="F54" s="1" t="s">
        <v>156</v>
      </c>
      <c r="G54" s="1" t="s">
        <v>175</v>
      </c>
      <c r="H54" s="1" t="s">
        <v>47</v>
      </c>
      <c r="I54">
        <v>11</v>
      </c>
      <c r="J54">
        <v>7</v>
      </c>
      <c r="K54">
        <v>5</v>
      </c>
      <c r="O54">
        <v>10.34</v>
      </c>
      <c r="P54">
        <v>13.3</v>
      </c>
      <c r="S54">
        <v>15</v>
      </c>
      <c r="U54" t="s">
        <v>48</v>
      </c>
      <c r="V54" t="s">
        <v>32</v>
      </c>
      <c r="W54">
        <v>2</v>
      </c>
      <c r="X54">
        <v>1</v>
      </c>
      <c r="Y54" t="s">
        <v>166</v>
      </c>
      <c r="Z54" t="s">
        <v>157</v>
      </c>
      <c r="AA54" t="s">
        <v>187</v>
      </c>
      <c r="AB54">
        <f t="shared" si="0"/>
        <v>13</v>
      </c>
      <c r="AC54">
        <f t="shared" si="1"/>
        <v>2.9600000000000009</v>
      </c>
      <c r="AD54">
        <f t="shared" si="2"/>
        <v>0</v>
      </c>
    </row>
    <row r="55" spans="1:31" x14ac:dyDescent="0.5">
      <c r="A55" s="1"/>
      <c r="B55" s="1">
        <v>4</v>
      </c>
      <c r="C55" s="1" t="s">
        <v>3</v>
      </c>
      <c r="D55" s="1">
        <v>30</v>
      </c>
      <c r="E55" s="1"/>
      <c r="F55" s="1" t="s">
        <v>156</v>
      </c>
      <c r="G55" s="1" t="s">
        <v>99</v>
      </c>
      <c r="H55" s="1" t="s">
        <v>102</v>
      </c>
      <c r="I55">
        <v>10</v>
      </c>
      <c r="J55">
        <v>6</v>
      </c>
      <c r="K55">
        <v>5</v>
      </c>
      <c r="L55">
        <v>1</v>
      </c>
      <c r="M55">
        <v>2.5</v>
      </c>
      <c r="Q55">
        <v>15.17</v>
      </c>
      <c r="R55">
        <v>17.260000000000002</v>
      </c>
      <c r="S55">
        <v>5</v>
      </c>
      <c r="AB55" t="str">
        <f t="shared" si="0"/>
        <v>No Catch</v>
      </c>
      <c r="AC55">
        <f t="shared" si="1"/>
        <v>0</v>
      </c>
      <c r="AD55">
        <f t="shared" si="2"/>
        <v>2.0900000000000016</v>
      </c>
    </row>
    <row r="56" spans="1:31" x14ac:dyDescent="0.5">
      <c r="A56" s="1" t="s">
        <v>104</v>
      </c>
      <c r="B56" s="1">
        <v>9</v>
      </c>
      <c r="C56" s="1" t="s">
        <v>3</v>
      </c>
      <c r="D56" s="1">
        <v>30</v>
      </c>
      <c r="E56" s="1"/>
      <c r="F56" s="1" t="s">
        <v>155</v>
      </c>
      <c r="G56" s="1" t="s">
        <v>99</v>
      </c>
      <c r="H56" s="1" t="s">
        <v>47</v>
      </c>
      <c r="I56">
        <v>10</v>
      </c>
      <c r="J56">
        <v>6</v>
      </c>
      <c r="K56">
        <v>5</v>
      </c>
      <c r="L56">
        <v>1</v>
      </c>
      <c r="M56">
        <v>1</v>
      </c>
      <c r="Q56">
        <v>10.52</v>
      </c>
      <c r="R56">
        <v>11.8</v>
      </c>
      <c r="S56">
        <v>5</v>
      </c>
      <c r="AB56" t="str">
        <f t="shared" si="0"/>
        <v>No Catch</v>
      </c>
      <c r="AC56">
        <f t="shared" si="1"/>
        <v>0</v>
      </c>
      <c r="AD56">
        <f t="shared" si="2"/>
        <v>1.2800000000000011</v>
      </c>
    </row>
    <row r="57" spans="1:31" x14ac:dyDescent="0.5">
      <c r="A57" s="1"/>
      <c r="B57" s="1">
        <v>10</v>
      </c>
      <c r="C57" s="1" t="s">
        <v>3</v>
      </c>
      <c r="D57" s="1">
        <v>30</v>
      </c>
      <c r="E57" s="1"/>
      <c r="F57" s="1" t="s">
        <v>156</v>
      </c>
      <c r="G57" s="1" t="s">
        <v>175</v>
      </c>
      <c r="H57" s="1" t="s">
        <v>102</v>
      </c>
      <c r="I57">
        <v>10</v>
      </c>
      <c r="J57">
        <v>6</v>
      </c>
      <c r="K57">
        <v>5</v>
      </c>
      <c r="O57">
        <v>6.49</v>
      </c>
      <c r="P57">
        <v>8.4</v>
      </c>
      <c r="S57">
        <v>3</v>
      </c>
      <c r="U57" t="s">
        <v>48</v>
      </c>
      <c r="V57" t="s">
        <v>32</v>
      </c>
      <c r="W57">
        <v>-1</v>
      </c>
      <c r="X57">
        <v>1</v>
      </c>
      <c r="Y57" t="s">
        <v>166</v>
      </c>
      <c r="Z57" t="s">
        <v>173</v>
      </c>
      <c r="AA57" t="s">
        <v>184</v>
      </c>
      <c r="AB57">
        <f t="shared" si="0"/>
        <v>4</v>
      </c>
      <c r="AC57">
        <f t="shared" si="1"/>
        <v>1.9100000000000001</v>
      </c>
      <c r="AD57">
        <f t="shared" si="2"/>
        <v>0</v>
      </c>
    </row>
    <row r="58" spans="1:31" x14ac:dyDescent="0.5">
      <c r="A58" s="1"/>
      <c r="B58" s="1">
        <v>11</v>
      </c>
      <c r="C58" s="1" t="s">
        <v>3</v>
      </c>
      <c r="D58" s="1">
        <v>30</v>
      </c>
      <c r="E58" s="1"/>
      <c r="F58" s="1" t="s">
        <v>156</v>
      </c>
      <c r="G58" s="1" t="s">
        <v>175</v>
      </c>
      <c r="H58" s="1" t="s">
        <v>102</v>
      </c>
      <c r="I58">
        <v>11</v>
      </c>
      <c r="J58">
        <v>7</v>
      </c>
      <c r="K58">
        <v>5</v>
      </c>
      <c r="O58">
        <v>11.05</v>
      </c>
      <c r="P58">
        <v>12.26</v>
      </c>
      <c r="S58">
        <v>3</v>
      </c>
      <c r="U58" t="s">
        <v>48</v>
      </c>
      <c r="V58" t="s">
        <v>32</v>
      </c>
      <c r="W58">
        <v>-2</v>
      </c>
      <c r="X58">
        <v>4</v>
      </c>
      <c r="Y58" t="s">
        <v>166</v>
      </c>
      <c r="Z58" t="s">
        <v>151</v>
      </c>
      <c r="AA58" t="s">
        <v>185</v>
      </c>
      <c r="AB58">
        <f t="shared" si="0"/>
        <v>5</v>
      </c>
      <c r="AC58">
        <f t="shared" si="1"/>
        <v>1.2099999999999991</v>
      </c>
      <c r="AD58">
        <f t="shared" si="2"/>
        <v>0</v>
      </c>
    </row>
    <row r="59" spans="1:31" x14ac:dyDescent="0.5">
      <c r="A59" s="1"/>
      <c r="B59" s="1">
        <v>12</v>
      </c>
      <c r="C59" s="1" t="s">
        <v>3</v>
      </c>
      <c r="D59" s="1">
        <v>30</v>
      </c>
      <c r="E59" s="1"/>
      <c r="F59" s="1" t="s">
        <v>155</v>
      </c>
      <c r="G59" s="1" t="s">
        <v>175</v>
      </c>
      <c r="H59" s="1" t="s">
        <v>102</v>
      </c>
      <c r="I59">
        <v>11</v>
      </c>
      <c r="J59">
        <v>7</v>
      </c>
      <c r="K59">
        <v>5</v>
      </c>
      <c r="O59">
        <v>10.34</v>
      </c>
      <c r="P59">
        <v>14.92</v>
      </c>
      <c r="S59">
        <v>0</v>
      </c>
      <c r="U59" t="s">
        <v>33</v>
      </c>
      <c r="V59" t="s">
        <v>32</v>
      </c>
      <c r="W59">
        <v>20</v>
      </c>
      <c r="X59">
        <v>4</v>
      </c>
      <c r="Y59" t="s">
        <v>153</v>
      </c>
      <c r="Z59" t="s">
        <v>151</v>
      </c>
      <c r="AA59" t="s">
        <v>188</v>
      </c>
      <c r="AB59" t="str">
        <f t="shared" si="0"/>
        <v>No Catch</v>
      </c>
      <c r="AC59">
        <f t="shared" si="1"/>
        <v>4.58</v>
      </c>
      <c r="AD59">
        <f t="shared" si="2"/>
        <v>0</v>
      </c>
    </row>
    <row r="60" spans="1:31" x14ac:dyDescent="0.5">
      <c r="A60" s="1" t="s">
        <v>104</v>
      </c>
      <c r="B60" s="1">
        <v>1</v>
      </c>
      <c r="C60" s="1" t="s">
        <v>3</v>
      </c>
      <c r="D60" s="1">
        <v>30</v>
      </c>
      <c r="E60" s="1"/>
      <c r="F60" s="1" t="s">
        <v>156</v>
      </c>
      <c r="G60" s="1" t="s">
        <v>99</v>
      </c>
      <c r="H60" s="1" t="s">
        <v>102</v>
      </c>
      <c r="I60">
        <v>11</v>
      </c>
      <c r="J60">
        <v>6</v>
      </c>
      <c r="K60">
        <v>5</v>
      </c>
      <c r="L60">
        <v>34</v>
      </c>
      <c r="M60">
        <v>1.5</v>
      </c>
      <c r="Q60">
        <v>1.26</v>
      </c>
      <c r="R60">
        <v>3.6</v>
      </c>
      <c r="S60">
        <v>2</v>
      </c>
      <c r="AB60" t="str">
        <f t="shared" si="0"/>
        <v>No Catch</v>
      </c>
      <c r="AC60">
        <f t="shared" si="1"/>
        <v>0</v>
      </c>
      <c r="AD60">
        <f t="shared" si="2"/>
        <v>2.34</v>
      </c>
    </row>
    <row r="61" spans="1:31" x14ac:dyDescent="0.5">
      <c r="A61" s="1"/>
      <c r="B61" s="1">
        <v>2</v>
      </c>
      <c r="C61" s="1" t="s">
        <v>3</v>
      </c>
      <c r="D61" s="1">
        <v>30</v>
      </c>
      <c r="E61" s="1"/>
      <c r="F61" s="1" t="s">
        <v>156</v>
      </c>
      <c r="G61" s="1" t="s">
        <v>175</v>
      </c>
      <c r="H61" s="1" t="s">
        <v>102</v>
      </c>
      <c r="I61">
        <v>12</v>
      </c>
      <c r="J61">
        <v>6</v>
      </c>
      <c r="K61">
        <v>5</v>
      </c>
      <c r="O61">
        <v>9.92</v>
      </c>
      <c r="P61">
        <v>12.81</v>
      </c>
      <c r="S61">
        <v>4</v>
      </c>
      <c r="U61" t="s">
        <v>48</v>
      </c>
      <c r="V61" t="s">
        <v>32</v>
      </c>
      <c r="W61">
        <v>-1</v>
      </c>
      <c r="X61">
        <v>84</v>
      </c>
      <c r="Y61" t="s">
        <v>153</v>
      </c>
      <c r="Z61" t="s">
        <v>160</v>
      </c>
      <c r="AA61" t="s">
        <v>161</v>
      </c>
      <c r="AB61">
        <f t="shared" si="0"/>
        <v>5</v>
      </c>
      <c r="AC61">
        <f t="shared" si="1"/>
        <v>2.8900000000000006</v>
      </c>
      <c r="AD61">
        <f t="shared" si="2"/>
        <v>0</v>
      </c>
    </row>
    <row r="62" spans="1:31" x14ac:dyDescent="0.5">
      <c r="A62" s="1"/>
      <c r="B62" s="1">
        <v>3</v>
      </c>
      <c r="C62" s="1" t="s">
        <v>3</v>
      </c>
      <c r="D62" s="1">
        <v>30</v>
      </c>
      <c r="E62" s="1"/>
      <c r="F62" s="1" t="s">
        <v>156</v>
      </c>
      <c r="G62" s="1" t="s">
        <v>99</v>
      </c>
      <c r="H62" s="1" t="s">
        <v>47</v>
      </c>
      <c r="I62">
        <v>11</v>
      </c>
      <c r="J62">
        <v>7</v>
      </c>
      <c r="K62">
        <v>5</v>
      </c>
      <c r="L62">
        <v>34</v>
      </c>
      <c r="M62">
        <v>5</v>
      </c>
      <c r="Q62">
        <v>7.51</v>
      </c>
      <c r="R62">
        <v>9.91</v>
      </c>
      <c r="S62">
        <v>5</v>
      </c>
      <c r="AB62" t="str">
        <f t="shared" si="0"/>
        <v>No Catch</v>
      </c>
      <c r="AC62">
        <f t="shared" si="1"/>
        <v>0</v>
      </c>
      <c r="AD62">
        <f t="shared" si="2"/>
        <v>2.4000000000000004</v>
      </c>
    </row>
    <row r="63" spans="1:31" x14ac:dyDescent="0.5">
      <c r="A63" s="1"/>
      <c r="B63" s="1">
        <v>4</v>
      </c>
      <c r="C63" s="1" t="s">
        <v>3</v>
      </c>
      <c r="D63" s="1">
        <v>30</v>
      </c>
      <c r="E63" s="1"/>
      <c r="F63" s="1" t="s">
        <v>155</v>
      </c>
      <c r="G63" s="1" t="s">
        <v>175</v>
      </c>
      <c r="H63" s="1" t="s">
        <v>100</v>
      </c>
      <c r="I63">
        <v>11</v>
      </c>
      <c r="J63">
        <v>6</v>
      </c>
      <c r="K63">
        <v>5</v>
      </c>
      <c r="O63">
        <v>5.09</v>
      </c>
      <c r="P63">
        <v>8.3699999999999992</v>
      </c>
      <c r="S63">
        <v>45</v>
      </c>
      <c r="U63" t="s">
        <v>48</v>
      </c>
      <c r="V63" t="s">
        <v>32</v>
      </c>
      <c r="W63">
        <v>38</v>
      </c>
      <c r="X63">
        <v>6</v>
      </c>
      <c r="Y63" t="s">
        <v>153</v>
      </c>
      <c r="Z63" t="s">
        <v>189</v>
      </c>
      <c r="AA63" t="s">
        <v>179</v>
      </c>
      <c r="AB63">
        <f t="shared" si="0"/>
        <v>7</v>
      </c>
      <c r="AC63">
        <f t="shared" si="1"/>
        <v>3.2799999999999994</v>
      </c>
      <c r="AD63">
        <f t="shared" si="2"/>
        <v>0</v>
      </c>
      <c r="AE63" t="s">
        <v>190</v>
      </c>
    </row>
    <row r="64" spans="1:31" x14ac:dyDescent="0.5">
      <c r="A64" s="1" t="s">
        <v>104</v>
      </c>
      <c r="B64" s="1">
        <v>13</v>
      </c>
      <c r="C64" s="1" t="s">
        <v>3</v>
      </c>
      <c r="D64" s="1">
        <v>30</v>
      </c>
      <c r="E64" s="1"/>
      <c r="F64" s="1" t="s">
        <v>156</v>
      </c>
      <c r="G64" s="1" t="s">
        <v>175</v>
      </c>
      <c r="H64" s="1" t="s">
        <v>102</v>
      </c>
      <c r="I64">
        <v>11</v>
      </c>
      <c r="J64">
        <v>6</v>
      </c>
      <c r="K64">
        <v>5</v>
      </c>
      <c r="O64">
        <v>1.73</v>
      </c>
      <c r="P64">
        <v>4.4400000000000004</v>
      </c>
      <c r="S64">
        <v>28</v>
      </c>
      <c r="U64" t="s">
        <v>48</v>
      </c>
      <c r="V64" t="s">
        <v>32</v>
      </c>
      <c r="W64">
        <v>28</v>
      </c>
      <c r="X64">
        <v>4</v>
      </c>
      <c r="Y64" t="s">
        <v>153</v>
      </c>
      <c r="Z64" t="s">
        <v>151</v>
      </c>
      <c r="AA64" t="s">
        <v>188</v>
      </c>
      <c r="AB64">
        <f t="shared" si="0"/>
        <v>0</v>
      </c>
      <c r="AC64">
        <f t="shared" si="1"/>
        <v>2.7100000000000004</v>
      </c>
      <c r="AD64">
        <f t="shared" si="2"/>
        <v>0</v>
      </c>
    </row>
    <row r="65" spans="1:31" x14ac:dyDescent="0.5">
      <c r="A65" s="1"/>
      <c r="B65" s="1">
        <v>14</v>
      </c>
      <c r="C65" s="1" t="s">
        <v>3</v>
      </c>
      <c r="D65" s="1">
        <v>30</v>
      </c>
      <c r="E65" s="1"/>
      <c r="F65" s="1" t="s">
        <v>156</v>
      </c>
      <c r="G65" s="1" t="s">
        <v>175</v>
      </c>
      <c r="H65" s="1" t="s">
        <v>100</v>
      </c>
      <c r="I65">
        <v>11</v>
      </c>
      <c r="J65">
        <v>6</v>
      </c>
      <c r="K65">
        <v>5</v>
      </c>
      <c r="O65">
        <v>3.04</v>
      </c>
      <c r="P65">
        <v>5.96</v>
      </c>
      <c r="S65">
        <v>0</v>
      </c>
      <c r="U65" t="s">
        <v>163</v>
      </c>
      <c r="V65" t="s">
        <v>31</v>
      </c>
      <c r="W65">
        <v>22</v>
      </c>
      <c r="X65">
        <v>4</v>
      </c>
      <c r="Y65" t="s">
        <v>153</v>
      </c>
      <c r="Z65" t="s">
        <v>191</v>
      </c>
      <c r="AA65" t="s">
        <v>149</v>
      </c>
      <c r="AB65" t="str">
        <f t="shared" si="0"/>
        <v>No Catch</v>
      </c>
      <c r="AC65">
        <f t="shared" si="1"/>
        <v>2.92</v>
      </c>
      <c r="AD65">
        <f t="shared" si="2"/>
        <v>0</v>
      </c>
    </row>
    <row r="66" spans="1:31" x14ac:dyDescent="0.5">
      <c r="A66" s="1"/>
      <c r="B66" s="1">
        <v>15</v>
      </c>
      <c r="C66" s="1" t="s">
        <v>3</v>
      </c>
      <c r="D66" s="1">
        <v>30</v>
      </c>
      <c r="E66" s="1"/>
      <c r="F66" s="1" t="s">
        <v>156</v>
      </c>
      <c r="G66" s="1" t="s">
        <v>99</v>
      </c>
      <c r="H66" s="1" t="s">
        <v>100</v>
      </c>
      <c r="I66">
        <v>11</v>
      </c>
      <c r="J66">
        <v>7</v>
      </c>
      <c r="K66">
        <v>5</v>
      </c>
      <c r="L66">
        <v>34</v>
      </c>
      <c r="M66">
        <v>-1</v>
      </c>
      <c r="Q66">
        <v>3.85</v>
      </c>
      <c r="R66">
        <v>4.6900000000000004</v>
      </c>
      <c r="S66">
        <v>0</v>
      </c>
      <c r="T66" t="s">
        <v>192</v>
      </c>
      <c r="AB66" t="str">
        <f t="shared" si="0"/>
        <v>No Catch</v>
      </c>
      <c r="AC66">
        <f t="shared" si="1"/>
        <v>0</v>
      </c>
      <c r="AD66">
        <f t="shared" si="2"/>
        <v>0.8400000000000003</v>
      </c>
    </row>
    <row r="67" spans="1:31" x14ac:dyDescent="0.5">
      <c r="A67" s="1"/>
      <c r="B67" s="1">
        <v>16</v>
      </c>
      <c r="C67" s="1" t="s">
        <v>3</v>
      </c>
      <c r="D67" s="1">
        <v>30</v>
      </c>
      <c r="E67" s="1"/>
      <c r="F67" s="1" t="s">
        <v>156</v>
      </c>
      <c r="G67" s="1" t="s">
        <v>175</v>
      </c>
      <c r="H67" s="1" t="s">
        <v>47</v>
      </c>
      <c r="I67">
        <v>12</v>
      </c>
      <c r="J67">
        <v>7</v>
      </c>
      <c r="K67">
        <v>5</v>
      </c>
      <c r="O67">
        <v>19.91</v>
      </c>
      <c r="P67">
        <v>21.08</v>
      </c>
      <c r="S67">
        <v>3</v>
      </c>
      <c r="U67" t="s">
        <v>48</v>
      </c>
      <c r="V67" t="s">
        <v>32</v>
      </c>
      <c r="W67">
        <v>-1</v>
      </c>
      <c r="X67">
        <v>14</v>
      </c>
      <c r="Y67" t="s">
        <v>166</v>
      </c>
      <c r="Z67" t="s">
        <v>189</v>
      </c>
      <c r="AA67" t="s">
        <v>194</v>
      </c>
      <c r="AB67">
        <f t="shared" ref="AB67:AB113" si="3">IF($U67="Catch",$S67-$W67,"No Catch")</f>
        <v>4</v>
      </c>
      <c r="AC67">
        <f t="shared" ref="AC67:AC130" si="4">$P67-$O67</f>
        <v>1.1699999999999982</v>
      </c>
      <c r="AD67">
        <f t="shared" ref="AD67:AD132" si="5">$R67-$Q67</f>
        <v>0</v>
      </c>
    </row>
    <row r="68" spans="1:31" x14ac:dyDescent="0.5">
      <c r="A68" s="1" t="s">
        <v>193</v>
      </c>
      <c r="B68" s="1">
        <v>1</v>
      </c>
      <c r="C68" s="1" t="s">
        <v>3</v>
      </c>
      <c r="D68" s="1">
        <v>30</v>
      </c>
      <c r="E68" s="1"/>
      <c r="F68" s="1" t="s">
        <v>156</v>
      </c>
      <c r="G68" s="1" t="s">
        <v>175</v>
      </c>
      <c r="H68" s="1" t="s">
        <v>102</v>
      </c>
      <c r="I68">
        <v>11</v>
      </c>
      <c r="J68">
        <v>7</v>
      </c>
      <c r="K68">
        <v>5</v>
      </c>
      <c r="O68">
        <v>5.07</v>
      </c>
      <c r="P68">
        <v>8.9700000000000006</v>
      </c>
      <c r="S68">
        <v>4</v>
      </c>
      <c r="U68" t="s">
        <v>48</v>
      </c>
      <c r="V68" t="s">
        <v>32</v>
      </c>
      <c r="W68">
        <v>4</v>
      </c>
      <c r="X68">
        <v>6</v>
      </c>
      <c r="Y68" t="s">
        <v>166</v>
      </c>
      <c r="Z68" t="s">
        <v>189</v>
      </c>
      <c r="AA68" t="s">
        <v>180</v>
      </c>
      <c r="AB68">
        <f t="shared" si="3"/>
        <v>0</v>
      </c>
      <c r="AC68">
        <f t="shared" si="4"/>
        <v>3.9000000000000004</v>
      </c>
      <c r="AD68">
        <f t="shared" si="5"/>
        <v>0</v>
      </c>
    </row>
    <row r="69" spans="1:31" x14ac:dyDescent="0.5">
      <c r="A69" s="1"/>
      <c r="B69" s="1">
        <v>2</v>
      </c>
      <c r="C69" s="1" t="s">
        <v>3</v>
      </c>
      <c r="D69" s="1">
        <v>30</v>
      </c>
      <c r="E69" s="1"/>
      <c r="F69" s="1" t="s">
        <v>156</v>
      </c>
      <c r="G69" s="1" t="s">
        <v>175</v>
      </c>
      <c r="H69" s="1" t="s">
        <v>47</v>
      </c>
      <c r="I69">
        <v>12</v>
      </c>
      <c r="J69">
        <v>8</v>
      </c>
      <c r="K69">
        <v>5</v>
      </c>
      <c r="O69">
        <v>7.12</v>
      </c>
      <c r="P69">
        <v>8.35</v>
      </c>
      <c r="S69">
        <v>10</v>
      </c>
      <c r="U69" t="s">
        <v>48</v>
      </c>
      <c r="V69" t="s">
        <v>32</v>
      </c>
      <c r="W69">
        <v>-1.5</v>
      </c>
      <c r="X69">
        <v>14</v>
      </c>
      <c r="Y69" t="s">
        <v>153</v>
      </c>
      <c r="Z69" t="s">
        <v>189</v>
      </c>
      <c r="AA69" t="s">
        <v>194</v>
      </c>
      <c r="AB69">
        <f t="shared" si="3"/>
        <v>11.5</v>
      </c>
      <c r="AC69">
        <f t="shared" si="4"/>
        <v>1.2299999999999995</v>
      </c>
      <c r="AD69">
        <f t="shared" si="5"/>
        <v>0</v>
      </c>
    </row>
    <row r="70" spans="1:31" x14ac:dyDescent="0.5">
      <c r="A70" s="1"/>
      <c r="B70" s="1">
        <v>3</v>
      </c>
      <c r="C70" s="1" t="s">
        <v>3</v>
      </c>
      <c r="D70" s="1">
        <v>30</v>
      </c>
      <c r="E70" s="1"/>
      <c r="F70" s="1" t="s">
        <v>156</v>
      </c>
      <c r="G70" s="1" t="s">
        <v>175</v>
      </c>
      <c r="H70" s="1" t="s">
        <v>47</v>
      </c>
      <c r="I70">
        <v>12</v>
      </c>
      <c r="J70">
        <v>7</v>
      </c>
      <c r="K70">
        <v>5</v>
      </c>
      <c r="O70">
        <v>9.34</v>
      </c>
      <c r="P70">
        <v>11.47</v>
      </c>
      <c r="S70">
        <v>0</v>
      </c>
      <c r="U70" t="s">
        <v>163</v>
      </c>
      <c r="V70" t="s">
        <v>29</v>
      </c>
      <c r="W70">
        <v>35</v>
      </c>
      <c r="X70">
        <v>14</v>
      </c>
      <c r="Y70" t="s">
        <v>166</v>
      </c>
      <c r="Z70" t="s">
        <v>189</v>
      </c>
      <c r="AA70" t="s">
        <v>179</v>
      </c>
      <c r="AB70" t="str">
        <f t="shared" si="3"/>
        <v>No Catch</v>
      </c>
      <c r="AC70">
        <f t="shared" si="4"/>
        <v>2.1300000000000008</v>
      </c>
      <c r="AD70">
        <f t="shared" si="5"/>
        <v>0</v>
      </c>
    </row>
    <row r="71" spans="1:31" x14ac:dyDescent="0.5">
      <c r="A71" s="1"/>
      <c r="B71" s="1">
        <v>4</v>
      </c>
      <c r="C71" s="1" t="s">
        <v>3</v>
      </c>
      <c r="D71" s="1">
        <v>30</v>
      </c>
      <c r="E71" s="1"/>
      <c r="F71" s="1" t="s">
        <v>156</v>
      </c>
      <c r="G71" s="1" t="s">
        <v>174</v>
      </c>
      <c r="I71">
        <v>11</v>
      </c>
      <c r="J71">
        <v>6</v>
      </c>
      <c r="K71">
        <v>5</v>
      </c>
      <c r="O71">
        <v>5.0999999999999996</v>
      </c>
      <c r="P71">
        <v>7.66</v>
      </c>
      <c r="S71">
        <v>-5</v>
      </c>
      <c r="AB71" t="str">
        <f t="shared" si="3"/>
        <v>No Catch</v>
      </c>
      <c r="AC71">
        <f t="shared" si="4"/>
        <v>2.5600000000000005</v>
      </c>
      <c r="AD71">
        <f t="shared" si="5"/>
        <v>0</v>
      </c>
    </row>
    <row r="72" spans="1:31" x14ac:dyDescent="0.5">
      <c r="A72" s="1" t="s">
        <v>104</v>
      </c>
      <c r="B72" s="1">
        <v>13</v>
      </c>
      <c r="C72" s="1" t="s">
        <v>3</v>
      </c>
      <c r="D72" s="1">
        <v>30</v>
      </c>
      <c r="E72" s="1"/>
      <c r="F72" s="1" t="s">
        <v>156</v>
      </c>
      <c r="G72" s="1" t="s">
        <v>175</v>
      </c>
      <c r="H72" s="1" t="s">
        <v>100</v>
      </c>
      <c r="I72">
        <v>11</v>
      </c>
      <c r="J72">
        <v>7</v>
      </c>
      <c r="K72">
        <v>5</v>
      </c>
      <c r="O72">
        <v>5.34</v>
      </c>
      <c r="P72">
        <v>8.99</v>
      </c>
      <c r="S72">
        <v>6</v>
      </c>
      <c r="U72" t="s">
        <v>48</v>
      </c>
      <c r="V72" t="s">
        <v>32</v>
      </c>
      <c r="W72">
        <v>2</v>
      </c>
      <c r="X72">
        <v>34</v>
      </c>
      <c r="Y72" t="s">
        <v>166</v>
      </c>
      <c r="Z72" t="s">
        <v>195</v>
      </c>
      <c r="AA72" t="s">
        <v>196</v>
      </c>
      <c r="AB72">
        <f t="shared" si="3"/>
        <v>4</v>
      </c>
      <c r="AC72">
        <f t="shared" si="4"/>
        <v>3.6500000000000004</v>
      </c>
      <c r="AD72">
        <f t="shared" si="5"/>
        <v>0</v>
      </c>
    </row>
    <row r="73" spans="1:31" x14ac:dyDescent="0.5">
      <c r="A73" s="1"/>
      <c r="B73" s="1">
        <v>14</v>
      </c>
      <c r="C73" s="1" t="s">
        <v>3</v>
      </c>
      <c r="D73" s="1">
        <v>30</v>
      </c>
      <c r="E73" s="1"/>
      <c r="F73" s="1" t="s">
        <v>156</v>
      </c>
      <c r="G73" s="1" t="s">
        <v>175</v>
      </c>
      <c r="H73" s="1" t="s">
        <v>47</v>
      </c>
      <c r="I73">
        <v>11</v>
      </c>
      <c r="J73">
        <v>7</v>
      </c>
      <c r="K73">
        <v>5</v>
      </c>
      <c r="O73">
        <v>24.58</v>
      </c>
      <c r="P73">
        <v>26.65</v>
      </c>
      <c r="S73">
        <v>15</v>
      </c>
      <c r="U73" t="s">
        <v>48</v>
      </c>
      <c r="V73" t="s">
        <v>32</v>
      </c>
      <c r="W73">
        <v>-2</v>
      </c>
      <c r="X73">
        <v>34</v>
      </c>
      <c r="Y73" t="s">
        <v>166</v>
      </c>
      <c r="Z73" t="s">
        <v>197</v>
      </c>
      <c r="AA73" t="s">
        <v>198</v>
      </c>
      <c r="AB73">
        <f t="shared" si="3"/>
        <v>17</v>
      </c>
      <c r="AC73">
        <f t="shared" si="4"/>
        <v>2.0700000000000003</v>
      </c>
      <c r="AD73">
        <f t="shared" si="5"/>
        <v>0</v>
      </c>
    </row>
    <row r="74" spans="1:31" x14ac:dyDescent="0.5">
      <c r="A74" s="1"/>
      <c r="B74" s="1">
        <v>15</v>
      </c>
      <c r="C74" s="1" t="s">
        <v>3</v>
      </c>
      <c r="D74" s="1">
        <v>30</v>
      </c>
      <c r="E74" s="1"/>
      <c r="F74" s="1" t="s">
        <v>156</v>
      </c>
      <c r="G74" s="1" t="s">
        <v>99</v>
      </c>
      <c r="H74" s="1" t="s">
        <v>100</v>
      </c>
      <c r="I74">
        <v>12</v>
      </c>
      <c r="J74">
        <v>7</v>
      </c>
      <c r="K74">
        <v>5</v>
      </c>
      <c r="L74">
        <v>34</v>
      </c>
      <c r="M74">
        <v>-4</v>
      </c>
      <c r="Q74">
        <v>10.11</v>
      </c>
      <c r="R74">
        <v>10.53</v>
      </c>
      <c r="S74">
        <v>0</v>
      </c>
      <c r="AB74" t="str">
        <f t="shared" si="3"/>
        <v>No Catch</v>
      </c>
      <c r="AC74">
        <f t="shared" si="4"/>
        <v>0</v>
      </c>
      <c r="AD74">
        <f t="shared" si="5"/>
        <v>0.41999999999999993</v>
      </c>
    </row>
    <row r="75" spans="1:31" x14ac:dyDescent="0.5">
      <c r="A75" s="1"/>
      <c r="B75" s="1">
        <v>16</v>
      </c>
      <c r="C75" s="1" t="s">
        <v>3</v>
      </c>
      <c r="D75" s="1">
        <v>30</v>
      </c>
      <c r="E75" s="1"/>
      <c r="F75" s="1" t="s">
        <v>156</v>
      </c>
      <c r="G75" s="1" t="s">
        <v>174</v>
      </c>
      <c r="I75">
        <v>11</v>
      </c>
      <c r="J75">
        <v>6</v>
      </c>
      <c r="K75">
        <v>5</v>
      </c>
      <c r="O75">
        <v>10.050000000000001</v>
      </c>
      <c r="P75">
        <v>13.77</v>
      </c>
      <c r="S75">
        <v>-6</v>
      </c>
      <c r="Y75" t="s">
        <v>153</v>
      </c>
      <c r="AB75" t="str">
        <f t="shared" si="3"/>
        <v>No Catch</v>
      </c>
      <c r="AC75">
        <f t="shared" si="4"/>
        <v>3.7199999999999989</v>
      </c>
      <c r="AD75">
        <f t="shared" si="5"/>
        <v>0</v>
      </c>
    </row>
    <row r="76" spans="1:31" x14ac:dyDescent="0.5">
      <c r="A76" s="1" t="s">
        <v>199</v>
      </c>
      <c r="B76" s="1">
        <v>1</v>
      </c>
      <c r="C76" s="1" t="s">
        <v>3</v>
      </c>
      <c r="D76" s="1">
        <v>30</v>
      </c>
      <c r="E76" s="1"/>
      <c r="F76" s="1" t="s">
        <v>156</v>
      </c>
      <c r="G76" s="1" t="s">
        <v>175</v>
      </c>
      <c r="H76" s="1" t="s">
        <v>47</v>
      </c>
      <c r="I76">
        <v>12</v>
      </c>
      <c r="J76">
        <v>7</v>
      </c>
      <c r="K76">
        <v>5</v>
      </c>
      <c r="O76">
        <v>6.82</v>
      </c>
      <c r="P76">
        <v>8.18</v>
      </c>
      <c r="S76">
        <v>4</v>
      </c>
      <c r="U76" t="s">
        <v>48</v>
      </c>
      <c r="V76" t="s">
        <v>32</v>
      </c>
      <c r="W76">
        <v>-1</v>
      </c>
      <c r="X76">
        <v>14</v>
      </c>
      <c r="Y76" t="s">
        <v>153</v>
      </c>
      <c r="Z76" t="s">
        <v>189</v>
      </c>
      <c r="AA76" t="s">
        <v>194</v>
      </c>
      <c r="AB76">
        <f t="shared" si="3"/>
        <v>5</v>
      </c>
      <c r="AC76">
        <f t="shared" si="4"/>
        <v>1.3599999999999994</v>
      </c>
      <c r="AD76">
        <f t="shared" si="5"/>
        <v>0</v>
      </c>
    </row>
    <row r="77" spans="1:31" x14ac:dyDescent="0.5">
      <c r="A77" s="1"/>
      <c r="B77" s="1">
        <v>2</v>
      </c>
      <c r="C77" s="1" t="s">
        <v>3</v>
      </c>
      <c r="D77" s="1">
        <v>30</v>
      </c>
      <c r="E77" s="1"/>
      <c r="F77" s="1" t="s">
        <v>156</v>
      </c>
      <c r="G77" s="1" t="s">
        <v>99</v>
      </c>
      <c r="H77" s="1" t="s">
        <v>47</v>
      </c>
      <c r="I77">
        <v>12</v>
      </c>
      <c r="J77">
        <v>6</v>
      </c>
      <c r="K77">
        <v>5</v>
      </c>
      <c r="L77">
        <v>34</v>
      </c>
      <c r="M77">
        <v>-2</v>
      </c>
      <c r="Q77">
        <v>6.67</v>
      </c>
      <c r="R77">
        <v>8.52</v>
      </c>
      <c r="S77">
        <v>-1</v>
      </c>
      <c r="AB77" t="str">
        <f t="shared" si="3"/>
        <v>No Catch</v>
      </c>
      <c r="AC77">
        <f t="shared" si="4"/>
        <v>0</v>
      </c>
      <c r="AD77">
        <f t="shared" si="5"/>
        <v>1.8499999999999996</v>
      </c>
    </row>
    <row r="78" spans="1:31" x14ac:dyDescent="0.5">
      <c r="A78" s="1"/>
      <c r="B78" s="1">
        <v>3</v>
      </c>
      <c r="C78" s="1" t="s">
        <v>3</v>
      </c>
      <c r="D78" s="1">
        <v>30</v>
      </c>
      <c r="E78" s="1"/>
      <c r="F78" s="1" t="s">
        <v>156</v>
      </c>
      <c r="G78" s="1" t="s">
        <v>175</v>
      </c>
      <c r="H78" s="1" t="s">
        <v>47</v>
      </c>
      <c r="I78">
        <v>11</v>
      </c>
      <c r="J78">
        <v>6</v>
      </c>
      <c r="K78">
        <v>5</v>
      </c>
      <c r="O78">
        <v>33.090000000000003</v>
      </c>
      <c r="P78">
        <v>34.409999999999997</v>
      </c>
      <c r="S78">
        <v>23</v>
      </c>
      <c r="U78" t="s">
        <v>48</v>
      </c>
      <c r="V78" t="s">
        <v>32</v>
      </c>
      <c r="W78">
        <v>14</v>
      </c>
      <c r="X78">
        <v>14</v>
      </c>
      <c r="Y78" t="s">
        <v>153</v>
      </c>
      <c r="Z78" t="s">
        <v>189</v>
      </c>
      <c r="AA78" t="s">
        <v>179</v>
      </c>
      <c r="AB78">
        <f t="shared" si="3"/>
        <v>9</v>
      </c>
      <c r="AC78">
        <f t="shared" si="4"/>
        <v>1.3199999999999932</v>
      </c>
      <c r="AD78">
        <f t="shared" si="5"/>
        <v>0</v>
      </c>
      <c r="AE78" t="s">
        <v>200</v>
      </c>
    </row>
    <row r="79" spans="1:31" x14ac:dyDescent="0.5">
      <c r="A79" s="1"/>
      <c r="B79" s="1">
        <v>4</v>
      </c>
      <c r="C79" s="1" t="s">
        <v>3</v>
      </c>
      <c r="D79" s="1">
        <v>30</v>
      </c>
      <c r="E79" s="1"/>
      <c r="F79" s="1" t="s">
        <v>156</v>
      </c>
      <c r="G79" s="1" t="s">
        <v>175</v>
      </c>
      <c r="H79" s="1" t="s">
        <v>100</v>
      </c>
      <c r="I79">
        <v>11</v>
      </c>
      <c r="J79">
        <v>6</v>
      </c>
      <c r="K79">
        <v>5</v>
      </c>
      <c r="O79">
        <v>14.74</v>
      </c>
      <c r="P79">
        <v>17.329999999999998</v>
      </c>
      <c r="S79">
        <v>0</v>
      </c>
      <c r="U79" t="s">
        <v>163</v>
      </c>
      <c r="V79" t="s">
        <v>28</v>
      </c>
      <c r="W79">
        <v>30</v>
      </c>
      <c r="X79">
        <v>6</v>
      </c>
      <c r="Y79" t="s">
        <v>153</v>
      </c>
      <c r="Z79" t="s">
        <v>189</v>
      </c>
      <c r="AA79" t="s">
        <v>149</v>
      </c>
      <c r="AB79" t="str">
        <f t="shared" si="3"/>
        <v>No Catch</v>
      </c>
      <c r="AC79">
        <f t="shared" si="4"/>
        <v>2.5899999999999981</v>
      </c>
      <c r="AD79">
        <f t="shared" si="5"/>
        <v>0</v>
      </c>
    </row>
    <row r="80" spans="1:31" x14ac:dyDescent="0.5">
      <c r="A80" s="1" t="s">
        <v>104</v>
      </c>
      <c r="B80" s="1">
        <v>13</v>
      </c>
      <c r="C80" s="1" t="s">
        <v>3</v>
      </c>
      <c r="D80" s="1">
        <v>30</v>
      </c>
      <c r="E80" s="1"/>
      <c r="F80" s="1" t="s">
        <v>156</v>
      </c>
      <c r="G80" s="1" t="s">
        <v>99</v>
      </c>
      <c r="H80" s="1" t="s">
        <v>47</v>
      </c>
      <c r="I80">
        <v>12</v>
      </c>
      <c r="J80">
        <v>6</v>
      </c>
      <c r="K80">
        <v>5</v>
      </c>
      <c r="L80">
        <v>34</v>
      </c>
      <c r="M80">
        <v>2.5</v>
      </c>
      <c r="Q80">
        <v>5.63</v>
      </c>
      <c r="R80">
        <v>7.47</v>
      </c>
      <c r="S80">
        <v>4</v>
      </c>
      <c r="AB80" t="str">
        <f t="shared" si="3"/>
        <v>No Catch</v>
      </c>
      <c r="AC80">
        <f t="shared" si="4"/>
        <v>0</v>
      </c>
      <c r="AD80">
        <f t="shared" si="5"/>
        <v>1.8399999999999999</v>
      </c>
    </row>
    <row r="81" spans="1:31" x14ac:dyDescent="0.5">
      <c r="A81" s="1"/>
      <c r="B81" s="1">
        <v>14</v>
      </c>
      <c r="C81" s="1" t="s">
        <v>3</v>
      </c>
      <c r="D81" s="1">
        <v>30</v>
      </c>
      <c r="E81" s="1"/>
      <c r="F81" s="1" t="s">
        <v>156</v>
      </c>
      <c r="G81" s="1" t="s">
        <v>175</v>
      </c>
      <c r="H81" s="1" t="s">
        <v>47</v>
      </c>
      <c r="I81">
        <v>12</v>
      </c>
      <c r="J81">
        <v>8</v>
      </c>
      <c r="K81">
        <v>5</v>
      </c>
      <c r="O81">
        <v>8.0500000000000007</v>
      </c>
      <c r="P81">
        <v>9.39</v>
      </c>
      <c r="S81">
        <v>15</v>
      </c>
      <c r="U81" t="s">
        <v>48</v>
      </c>
      <c r="V81" t="s">
        <v>32</v>
      </c>
      <c r="W81">
        <v>-6</v>
      </c>
      <c r="X81">
        <v>34</v>
      </c>
      <c r="Y81" t="s">
        <v>166</v>
      </c>
      <c r="Z81" t="s">
        <v>197</v>
      </c>
      <c r="AA81" t="s">
        <v>169</v>
      </c>
      <c r="AB81">
        <f t="shared" si="3"/>
        <v>21</v>
      </c>
      <c r="AC81">
        <f t="shared" si="4"/>
        <v>1.3399999999999999</v>
      </c>
      <c r="AD81">
        <f t="shared" si="5"/>
        <v>0</v>
      </c>
    </row>
    <row r="82" spans="1:31" x14ac:dyDescent="0.5">
      <c r="A82" s="1"/>
      <c r="B82" s="1">
        <v>15</v>
      </c>
      <c r="C82" s="1" t="s">
        <v>3</v>
      </c>
      <c r="D82" s="1">
        <v>30</v>
      </c>
      <c r="E82" s="1"/>
      <c r="F82" s="1" t="s">
        <v>156</v>
      </c>
      <c r="G82" s="1" t="s">
        <v>174</v>
      </c>
      <c r="I82">
        <v>11</v>
      </c>
      <c r="J82">
        <v>6</v>
      </c>
      <c r="K82">
        <v>5</v>
      </c>
      <c r="O82">
        <v>5.25</v>
      </c>
      <c r="P82">
        <v>8.4</v>
      </c>
      <c r="S82">
        <v>-5</v>
      </c>
      <c r="Y82" t="s">
        <v>153</v>
      </c>
      <c r="AB82" t="str">
        <f t="shared" si="3"/>
        <v>No Catch</v>
      </c>
      <c r="AC82">
        <f t="shared" si="4"/>
        <v>3.1500000000000004</v>
      </c>
      <c r="AD82">
        <f t="shared" si="5"/>
        <v>0</v>
      </c>
    </row>
    <row r="83" spans="1:31" x14ac:dyDescent="0.5">
      <c r="A83" s="1"/>
      <c r="B83" s="1">
        <v>16</v>
      </c>
      <c r="C83" s="1" t="s">
        <v>3</v>
      </c>
      <c r="D83" s="1">
        <v>30</v>
      </c>
      <c r="E83" s="1"/>
      <c r="F83" s="1" t="s">
        <v>156</v>
      </c>
      <c r="G83" s="1" t="s">
        <v>99</v>
      </c>
      <c r="H83" s="1" t="s">
        <v>102</v>
      </c>
      <c r="I83">
        <v>11</v>
      </c>
      <c r="J83">
        <v>6</v>
      </c>
      <c r="K83">
        <v>5</v>
      </c>
      <c r="L83">
        <v>34</v>
      </c>
      <c r="M83">
        <v>3.5</v>
      </c>
      <c r="Q83">
        <v>8.4</v>
      </c>
      <c r="R83">
        <v>11.04</v>
      </c>
      <c r="S83">
        <v>5</v>
      </c>
      <c r="AB83" t="str">
        <f t="shared" si="3"/>
        <v>No Catch</v>
      </c>
      <c r="AC83">
        <f t="shared" si="4"/>
        <v>0</v>
      </c>
      <c r="AD83">
        <f t="shared" si="5"/>
        <v>2.6399999999999988</v>
      </c>
    </row>
    <row r="84" spans="1:31" x14ac:dyDescent="0.5">
      <c r="A84" s="1" t="s">
        <v>201</v>
      </c>
      <c r="B84" s="1">
        <v>1</v>
      </c>
      <c r="C84" s="1" t="s">
        <v>3</v>
      </c>
      <c r="D84" s="1">
        <v>30</v>
      </c>
      <c r="E84" s="1"/>
      <c r="F84" s="1" t="s">
        <v>156</v>
      </c>
      <c r="G84" s="1" t="s">
        <v>99</v>
      </c>
      <c r="H84" s="1" t="s">
        <v>47</v>
      </c>
      <c r="I84">
        <v>12</v>
      </c>
      <c r="J84">
        <v>6</v>
      </c>
      <c r="K84">
        <v>5</v>
      </c>
      <c r="L84">
        <v>34</v>
      </c>
      <c r="M84">
        <v>-1.5</v>
      </c>
      <c r="Q84">
        <v>9.15</v>
      </c>
      <c r="R84">
        <v>10.83</v>
      </c>
      <c r="S84">
        <v>-1</v>
      </c>
      <c r="AB84" t="str">
        <f t="shared" si="3"/>
        <v>No Catch</v>
      </c>
      <c r="AC84">
        <f t="shared" si="4"/>
        <v>0</v>
      </c>
      <c r="AD84">
        <f t="shared" si="5"/>
        <v>1.6799999999999997</v>
      </c>
    </row>
    <row r="85" spans="1:31" x14ac:dyDescent="0.5">
      <c r="A85" s="1"/>
      <c r="B85" s="1">
        <v>2</v>
      </c>
      <c r="C85" s="1" t="s">
        <v>3</v>
      </c>
      <c r="D85" s="1">
        <v>30</v>
      </c>
      <c r="E85" s="1"/>
      <c r="F85" s="1" t="s">
        <v>156</v>
      </c>
      <c r="G85" s="1" t="s">
        <v>175</v>
      </c>
      <c r="H85" s="1" t="s">
        <v>102</v>
      </c>
      <c r="I85">
        <v>12</v>
      </c>
      <c r="J85">
        <v>7</v>
      </c>
      <c r="K85">
        <v>5</v>
      </c>
      <c r="O85">
        <v>8.35</v>
      </c>
      <c r="P85">
        <v>10.83</v>
      </c>
      <c r="S85">
        <v>3</v>
      </c>
      <c r="U85" t="s">
        <v>48</v>
      </c>
      <c r="V85" t="s">
        <v>32</v>
      </c>
      <c r="W85">
        <v>3</v>
      </c>
      <c r="X85">
        <v>84</v>
      </c>
      <c r="Y85" t="s">
        <v>153</v>
      </c>
      <c r="Z85" t="s">
        <v>203</v>
      </c>
      <c r="AA85" t="s">
        <v>180</v>
      </c>
      <c r="AB85">
        <f t="shared" si="3"/>
        <v>0</v>
      </c>
      <c r="AC85">
        <f t="shared" si="4"/>
        <v>2.4800000000000004</v>
      </c>
      <c r="AD85">
        <f t="shared" si="5"/>
        <v>0</v>
      </c>
      <c r="AE85" t="s">
        <v>202</v>
      </c>
    </row>
    <row r="86" spans="1:31" x14ac:dyDescent="0.5">
      <c r="A86" s="1"/>
      <c r="B86" s="1">
        <v>3</v>
      </c>
      <c r="C86" s="1" t="s">
        <v>3</v>
      </c>
      <c r="D86" s="1">
        <v>30</v>
      </c>
      <c r="E86" s="1"/>
      <c r="F86" s="1" t="s">
        <v>156</v>
      </c>
      <c r="G86" s="1" t="s">
        <v>175</v>
      </c>
      <c r="H86" s="1" t="s">
        <v>47</v>
      </c>
      <c r="I86">
        <v>11</v>
      </c>
      <c r="J86">
        <v>7</v>
      </c>
      <c r="K86">
        <v>5</v>
      </c>
      <c r="O86">
        <v>5.19</v>
      </c>
      <c r="P86">
        <v>7.51</v>
      </c>
      <c r="S86">
        <v>4</v>
      </c>
      <c r="T86" t="s">
        <v>192</v>
      </c>
      <c r="U86" t="s">
        <v>48</v>
      </c>
      <c r="V86" t="s">
        <v>32</v>
      </c>
      <c r="W86">
        <v>2</v>
      </c>
      <c r="X86">
        <v>87</v>
      </c>
      <c r="Y86" t="s">
        <v>153</v>
      </c>
      <c r="Z86" t="s">
        <v>205</v>
      </c>
      <c r="AA86" t="s">
        <v>204</v>
      </c>
      <c r="AB86">
        <f t="shared" si="3"/>
        <v>2</v>
      </c>
      <c r="AC86">
        <f t="shared" si="4"/>
        <v>2.3199999999999994</v>
      </c>
      <c r="AD86">
        <f t="shared" si="5"/>
        <v>0</v>
      </c>
    </row>
    <row r="87" spans="1:31" x14ac:dyDescent="0.5">
      <c r="A87" s="1"/>
      <c r="B87" s="1">
        <v>4</v>
      </c>
      <c r="C87" s="1" t="s">
        <v>3</v>
      </c>
      <c r="D87" s="1">
        <v>30</v>
      </c>
      <c r="E87" s="1"/>
      <c r="F87" s="1" t="s">
        <v>156</v>
      </c>
      <c r="G87" s="1" t="s">
        <v>175</v>
      </c>
      <c r="H87" s="1" t="s">
        <v>100</v>
      </c>
      <c r="I87">
        <v>10</v>
      </c>
      <c r="J87">
        <v>6</v>
      </c>
      <c r="K87">
        <v>5</v>
      </c>
      <c r="O87">
        <v>11.42</v>
      </c>
      <c r="P87">
        <v>13.81</v>
      </c>
      <c r="S87">
        <v>0</v>
      </c>
      <c r="U87" t="s">
        <v>163</v>
      </c>
      <c r="V87" t="s">
        <v>28</v>
      </c>
      <c r="W87">
        <v>0</v>
      </c>
      <c r="X87">
        <v>34</v>
      </c>
      <c r="Y87" t="s">
        <v>166</v>
      </c>
      <c r="Z87" t="s">
        <v>173</v>
      </c>
      <c r="AA87" t="s">
        <v>184</v>
      </c>
      <c r="AB87" t="str">
        <f t="shared" si="3"/>
        <v>No Catch</v>
      </c>
      <c r="AC87">
        <f t="shared" si="4"/>
        <v>2.3900000000000006</v>
      </c>
      <c r="AD87">
        <f t="shared" si="5"/>
        <v>0</v>
      </c>
    </row>
    <row r="88" spans="1:31" x14ac:dyDescent="0.5">
      <c r="A88" s="1" t="s">
        <v>104</v>
      </c>
      <c r="B88" s="1">
        <v>13</v>
      </c>
      <c r="C88" s="1" t="s">
        <v>3</v>
      </c>
      <c r="D88" s="1">
        <v>30</v>
      </c>
      <c r="E88" s="1"/>
      <c r="F88" s="1" t="s">
        <v>156</v>
      </c>
      <c r="G88" s="1" t="s">
        <v>182</v>
      </c>
      <c r="I88">
        <v>11</v>
      </c>
      <c r="J88">
        <v>6</v>
      </c>
      <c r="K88">
        <v>5</v>
      </c>
      <c r="S88">
        <v>5</v>
      </c>
      <c r="Y88" t="s">
        <v>153</v>
      </c>
      <c r="AB88" t="str">
        <f t="shared" si="3"/>
        <v>No Catch</v>
      </c>
      <c r="AC88">
        <f t="shared" si="4"/>
        <v>0</v>
      </c>
      <c r="AD88">
        <f t="shared" si="5"/>
        <v>0</v>
      </c>
    </row>
    <row r="89" spans="1:31" x14ac:dyDescent="0.5">
      <c r="A89" s="1"/>
      <c r="B89" s="1">
        <v>14</v>
      </c>
      <c r="C89" s="1" t="s">
        <v>3</v>
      </c>
      <c r="D89" s="1">
        <v>30</v>
      </c>
      <c r="E89" s="1"/>
      <c r="F89" s="1" t="s">
        <v>156</v>
      </c>
      <c r="G89" s="1" t="s">
        <v>175</v>
      </c>
      <c r="H89" s="1" t="s">
        <v>47</v>
      </c>
      <c r="I89">
        <v>11</v>
      </c>
      <c r="J89">
        <v>7</v>
      </c>
      <c r="K89">
        <v>5</v>
      </c>
      <c r="O89">
        <v>9.91</v>
      </c>
      <c r="P89">
        <v>11.64</v>
      </c>
      <c r="S89">
        <v>-4</v>
      </c>
      <c r="U89" t="s">
        <v>48</v>
      </c>
      <c r="V89" t="s">
        <v>28</v>
      </c>
      <c r="W89">
        <v>-4</v>
      </c>
      <c r="X89">
        <v>34</v>
      </c>
      <c r="Y89" t="s">
        <v>166</v>
      </c>
      <c r="Z89" t="s">
        <v>197</v>
      </c>
      <c r="AA89" t="s">
        <v>169</v>
      </c>
      <c r="AB89">
        <f t="shared" si="3"/>
        <v>0</v>
      </c>
      <c r="AC89">
        <f t="shared" si="4"/>
        <v>1.7300000000000004</v>
      </c>
      <c r="AD89">
        <f t="shared" si="5"/>
        <v>0</v>
      </c>
    </row>
    <row r="90" spans="1:31" x14ac:dyDescent="0.5">
      <c r="A90" s="1"/>
      <c r="B90" s="1">
        <v>15</v>
      </c>
      <c r="C90" s="1" t="s">
        <v>3</v>
      </c>
      <c r="D90" s="1">
        <v>30</v>
      </c>
      <c r="E90" s="1"/>
      <c r="F90" s="1" t="s">
        <v>156</v>
      </c>
      <c r="G90" s="1" t="s">
        <v>99</v>
      </c>
      <c r="H90" s="1" t="s">
        <v>100</v>
      </c>
      <c r="I90">
        <v>11</v>
      </c>
      <c r="J90">
        <v>6</v>
      </c>
      <c r="K90">
        <v>5</v>
      </c>
      <c r="L90">
        <v>34</v>
      </c>
      <c r="M90">
        <v>-3.5</v>
      </c>
      <c r="Q90">
        <v>11.5</v>
      </c>
      <c r="R90">
        <v>11.97</v>
      </c>
      <c r="S90">
        <v>-3.5</v>
      </c>
      <c r="AB90" t="str">
        <f t="shared" si="3"/>
        <v>No Catch</v>
      </c>
      <c r="AC90">
        <f t="shared" si="4"/>
        <v>0</v>
      </c>
      <c r="AD90">
        <f t="shared" si="5"/>
        <v>0.47000000000000064</v>
      </c>
    </row>
    <row r="91" spans="1:31" x14ac:dyDescent="0.5">
      <c r="A91" s="1"/>
      <c r="B91" s="1">
        <v>16</v>
      </c>
      <c r="C91" s="1" t="s">
        <v>3</v>
      </c>
      <c r="D91" s="1">
        <v>30</v>
      </c>
      <c r="E91" s="1"/>
      <c r="F91" s="1" t="s">
        <v>156</v>
      </c>
      <c r="G91" s="1" t="s">
        <v>174</v>
      </c>
      <c r="I91">
        <v>12</v>
      </c>
      <c r="J91">
        <v>8</v>
      </c>
      <c r="K91">
        <v>5</v>
      </c>
      <c r="O91">
        <v>7.99</v>
      </c>
      <c r="P91">
        <v>10.07</v>
      </c>
      <c r="S91">
        <v>-8</v>
      </c>
      <c r="AB91" t="str">
        <f t="shared" si="3"/>
        <v>No Catch</v>
      </c>
      <c r="AC91">
        <f t="shared" si="4"/>
        <v>2.08</v>
      </c>
      <c r="AD91">
        <f t="shared" si="5"/>
        <v>0</v>
      </c>
    </row>
    <row r="92" spans="1:31" x14ac:dyDescent="0.5">
      <c r="A92" s="1" t="s">
        <v>206</v>
      </c>
      <c r="B92" s="1">
        <v>1</v>
      </c>
      <c r="C92" s="1" t="s">
        <v>3</v>
      </c>
      <c r="D92" s="1">
        <v>30</v>
      </c>
      <c r="E92" s="1"/>
      <c r="F92" s="1" t="s">
        <v>156</v>
      </c>
      <c r="G92" s="1" t="s">
        <v>99</v>
      </c>
      <c r="H92" s="1" t="s">
        <v>100</v>
      </c>
      <c r="I92">
        <v>11</v>
      </c>
      <c r="J92">
        <v>7</v>
      </c>
      <c r="K92">
        <v>5</v>
      </c>
      <c r="L92">
        <v>34</v>
      </c>
      <c r="M92">
        <v>2</v>
      </c>
      <c r="Q92">
        <v>11.99</v>
      </c>
      <c r="R92">
        <v>13.87</v>
      </c>
      <c r="S92">
        <v>3.5</v>
      </c>
      <c r="AB92" t="str">
        <f t="shared" si="3"/>
        <v>No Catch</v>
      </c>
      <c r="AC92">
        <f t="shared" si="4"/>
        <v>0</v>
      </c>
      <c r="AD92">
        <f t="shared" si="5"/>
        <v>1.879999999999999</v>
      </c>
    </row>
    <row r="93" spans="1:31" x14ac:dyDescent="0.5">
      <c r="A93" s="1"/>
      <c r="B93" s="1">
        <v>2</v>
      </c>
      <c r="C93" s="1" t="s">
        <v>3</v>
      </c>
      <c r="D93" s="1">
        <v>30</v>
      </c>
      <c r="E93" s="1"/>
      <c r="F93" s="1" t="s">
        <v>156</v>
      </c>
      <c r="G93" s="1" t="s">
        <v>99</v>
      </c>
      <c r="H93" s="1" t="s">
        <v>100</v>
      </c>
      <c r="I93">
        <v>12</v>
      </c>
      <c r="J93">
        <v>7</v>
      </c>
      <c r="K93">
        <v>5</v>
      </c>
      <c r="L93">
        <v>34</v>
      </c>
      <c r="M93">
        <v>0</v>
      </c>
      <c r="Q93">
        <v>19.72</v>
      </c>
      <c r="R93">
        <v>21.95</v>
      </c>
      <c r="S93">
        <v>1</v>
      </c>
      <c r="AB93" t="str">
        <f t="shared" si="3"/>
        <v>No Catch</v>
      </c>
      <c r="AC93">
        <f t="shared" si="4"/>
        <v>0</v>
      </c>
      <c r="AD93">
        <f t="shared" si="5"/>
        <v>2.2300000000000004</v>
      </c>
    </row>
    <row r="94" spans="1:31" x14ac:dyDescent="0.5">
      <c r="A94" s="1"/>
      <c r="B94" s="1">
        <v>3</v>
      </c>
      <c r="C94" s="1" t="s">
        <v>3</v>
      </c>
      <c r="D94" s="1">
        <v>30</v>
      </c>
      <c r="E94" s="1"/>
      <c r="F94" s="1" t="s">
        <v>155</v>
      </c>
      <c r="G94" s="1" t="s">
        <v>174</v>
      </c>
      <c r="I94">
        <v>11</v>
      </c>
      <c r="J94">
        <v>6</v>
      </c>
      <c r="K94">
        <v>5</v>
      </c>
      <c r="O94">
        <v>5.55</v>
      </c>
      <c r="P94">
        <v>9.51</v>
      </c>
      <c r="S94">
        <v>-7</v>
      </c>
      <c r="AB94" t="str">
        <f t="shared" si="3"/>
        <v>No Catch</v>
      </c>
      <c r="AC94">
        <f t="shared" si="4"/>
        <v>3.96</v>
      </c>
      <c r="AD94">
        <f t="shared" si="5"/>
        <v>0</v>
      </c>
    </row>
    <row r="95" spans="1:31" x14ac:dyDescent="0.5">
      <c r="A95" s="1"/>
      <c r="B95" s="1">
        <v>4</v>
      </c>
      <c r="C95" s="1" t="s">
        <v>3</v>
      </c>
      <c r="D95" s="1">
        <v>30</v>
      </c>
      <c r="E95" s="1"/>
      <c r="F95" s="1" t="s">
        <v>156</v>
      </c>
      <c r="G95" s="1" t="s">
        <v>182</v>
      </c>
      <c r="I95">
        <v>11</v>
      </c>
      <c r="J95">
        <v>7</v>
      </c>
      <c r="K95">
        <v>5</v>
      </c>
      <c r="S95">
        <v>5</v>
      </c>
      <c r="AB95" t="str">
        <f t="shared" si="3"/>
        <v>No Catch</v>
      </c>
      <c r="AC95">
        <f t="shared" si="4"/>
        <v>0</v>
      </c>
      <c r="AD95">
        <f t="shared" si="5"/>
        <v>0</v>
      </c>
    </row>
    <row r="96" spans="1:31" x14ac:dyDescent="0.5">
      <c r="A96" s="1" t="s">
        <v>104</v>
      </c>
      <c r="B96" s="1">
        <v>13</v>
      </c>
      <c r="C96" s="1" t="s">
        <v>3</v>
      </c>
      <c r="D96" s="1">
        <v>30</v>
      </c>
      <c r="E96" s="1"/>
      <c r="F96" s="1" t="s">
        <v>156</v>
      </c>
      <c r="G96" s="1" t="s">
        <v>99</v>
      </c>
      <c r="H96" s="1" t="s">
        <v>100</v>
      </c>
      <c r="I96">
        <v>12</v>
      </c>
      <c r="J96">
        <v>7</v>
      </c>
      <c r="K96">
        <v>5</v>
      </c>
      <c r="L96">
        <v>34</v>
      </c>
      <c r="M96">
        <v>0</v>
      </c>
      <c r="Q96">
        <v>12.73</v>
      </c>
      <c r="R96">
        <v>13.85</v>
      </c>
      <c r="S96">
        <v>3</v>
      </c>
      <c r="AB96" t="str">
        <f t="shared" si="3"/>
        <v>No Catch</v>
      </c>
      <c r="AC96">
        <f t="shared" si="4"/>
        <v>0</v>
      </c>
      <c r="AD96">
        <f t="shared" si="5"/>
        <v>1.1199999999999992</v>
      </c>
    </row>
    <row r="97" spans="1:31" x14ac:dyDescent="0.5">
      <c r="A97" s="1"/>
      <c r="B97" s="1">
        <v>14</v>
      </c>
      <c r="C97" s="1" t="s">
        <v>3</v>
      </c>
      <c r="D97" s="1">
        <v>30</v>
      </c>
      <c r="E97" s="1"/>
      <c r="F97" s="1" t="s">
        <v>156</v>
      </c>
      <c r="G97" s="1" t="s">
        <v>99</v>
      </c>
      <c r="H97" s="1" t="s">
        <v>47</v>
      </c>
      <c r="I97">
        <v>11</v>
      </c>
      <c r="J97">
        <v>6</v>
      </c>
      <c r="K97">
        <v>5</v>
      </c>
      <c r="L97">
        <v>34</v>
      </c>
      <c r="M97">
        <v>1.5</v>
      </c>
      <c r="Q97">
        <v>14.1</v>
      </c>
      <c r="R97">
        <v>15.5</v>
      </c>
      <c r="S97">
        <v>3</v>
      </c>
      <c r="AB97" t="str">
        <f t="shared" si="3"/>
        <v>No Catch</v>
      </c>
      <c r="AC97">
        <f t="shared" si="4"/>
        <v>0</v>
      </c>
      <c r="AD97">
        <f t="shared" si="5"/>
        <v>1.4000000000000004</v>
      </c>
    </row>
    <row r="98" spans="1:31" x14ac:dyDescent="0.5">
      <c r="A98" s="1"/>
      <c r="B98" s="1">
        <v>15</v>
      </c>
      <c r="C98" s="1" t="s">
        <v>3</v>
      </c>
      <c r="D98" s="1">
        <v>30</v>
      </c>
      <c r="E98" s="1"/>
      <c r="F98" s="1" t="s">
        <v>156</v>
      </c>
      <c r="G98" s="1" t="s">
        <v>175</v>
      </c>
      <c r="H98" s="1" t="s">
        <v>47</v>
      </c>
      <c r="I98">
        <v>11</v>
      </c>
      <c r="J98">
        <v>6</v>
      </c>
      <c r="K98">
        <v>5</v>
      </c>
      <c r="O98">
        <v>8.01</v>
      </c>
      <c r="P98">
        <v>10.68</v>
      </c>
      <c r="S98">
        <v>0</v>
      </c>
      <c r="U98" t="s">
        <v>163</v>
      </c>
      <c r="V98" t="s">
        <v>30</v>
      </c>
      <c r="W98">
        <v>38</v>
      </c>
      <c r="X98">
        <v>14</v>
      </c>
      <c r="Y98" t="s">
        <v>153</v>
      </c>
      <c r="Z98" t="s">
        <v>189</v>
      </c>
      <c r="AA98" t="s">
        <v>179</v>
      </c>
      <c r="AB98" t="str">
        <f t="shared" si="3"/>
        <v>No Catch</v>
      </c>
      <c r="AC98">
        <f t="shared" si="4"/>
        <v>2.67</v>
      </c>
      <c r="AD98">
        <f t="shared" si="5"/>
        <v>0</v>
      </c>
    </row>
    <row r="99" spans="1:31" x14ac:dyDescent="0.5">
      <c r="A99" s="1"/>
      <c r="B99" s="1">
        <v>16</v>
      </c>
      <c r="C99" s="1" t="s">
        <v>3</v>
      </c>
      <c r="D99" s="1">
        <v>30</v>
      </c>
      <c r="E99" s="1"/>
      <c r="F99" s="1" t="s">
        <v>155</v>
      </c>
      <c r="G99" s="1" t="s">
        <v>174</v>
      </c>
      <c r="I99">
        <v>11</v>
      </c>
      <c r="J99">
        <v>7</v>
      </c>
      <c r="K99">
        <v>5</v>
      </c>
      <c r="O99">
        <v>6.35</v>
      </c>
      <c r="P99">
        <v>7.49</v>
      </c>
      <c r="S99">
        <v>-4</v>
      </c>
      <c r="AB99" t="str">
        <f t="shared" si="3"/>
        <v>No Catch</v>
      </c>
      <c r="AC99">
        <f t="shared" si="4"/>
        <v>1.1400000000000006</v>
      </c>
      <c r="AD99">
        <f t="shared" si="5"/>
        <v>0</v>
      </c>
    </row>
    <row r="100" spans="1:31" x14ac:dyDescent="0.5">
      <c r="A100" s="1" t="s">
        <v>207</v>
      </c>
      <c r="B100" s="1">
        <v>1</v>
      </c>
      <c r="C100" t="s">
        <v>228</v>
      </c>
      <c r="D100" s="1">
        <v>50</v>
      </c>
      <c r="E100" s="1"/>
      <c r="F100" s="1" t="s">
        <v>156</v>
      </c>
      <c r="G100" s="1" t="s">
        <v>99</v>
      </c>
      <c r="H100" t="s">
        <v>100</v>
      </c>
      <c r="I100">
        <v>11</v>
      </c>
      <c r="J100">
        <v>7</v>
      </c>
      <c r="K100">
        <v>5</v>
      </c>
      <c r="L100">
        <v>34</v>
      </c>
      <c r="M100">
        <v>-2</v>
      </c>
      <c r="Q100">
        <v>8.48</v>
      </c>
      <c r="R100">
        <v>9.1199999999999992</v>
      </c>
      <c r="S100">
        <v>-1</v>
      </c>
      <c r="AB100" t="str">
        <f t="shared" si="3"/>
        <v>No Catch</v>
      </c>
      <c r="AC100">
        <f t="shared" si="4"/>
        <v>0</v>
      </c>
      <c r="AD100">
        <f t="shared" si="5"/>
        <v>0.63999999999999879</v>
      </c>
    </row>
    <row r="101" spans="1:31" x14ac:dyDescent="0.5">
      <c r="A101" s="1"/>
      <c r="B101" s="1">
        <v>2</v>
      </c>
      <c r="C101" s="1" t="s">
        <v>101</v>
      </c>
      <c r="D101" s="1">
        <v>45</v>
      </c>
      <c r="E101" s="1"/>
      <c r="F101" s="1" t="s">
        <v>156</v>
      </c>
      <c r="G101" s="1" t="s">
        <v>182</v>
      </c>
      <c r="I101">
        <v>11</v>
      </c>
      <c r="J101">
        <v>7</v>
      </c>
      <c r="K101">
        <v>5</v>
      </c>
      <c r="S101">
        <v>15</v>
      </c>
      <c r="AB101" t="str">
        <f t="shared" si="3"/>
        <v>No Catch</v>
      </c>
      <c r="AC101">
        <f t="shared" si="4"/>
        <v>0</v>
      </c>
      <c r="AD101">
        <f t="shared" si="5"/>
        <v>0</v>
      </c>
    </row>
    <row r="102" spans="1:31" x14ac:dyDescent="0.5">
      <c r="B102" s="1">
        <v>3</v>
      </c>
      <c r="C102" s="1" t="s">
        <v>101</v>
      </c>
      <c r="D102" s="1">
        <v>30</v>
      </c>
      <c r="F102" s="1" t="s">
        <v>156</v>
      </c>
      <c r="G102" s="1" t="s">
        <v>175</v>
      </c>
      <c r="H102" s="1" t="s">
        <v>102</v>
      </c>
      <c r="I102">
        <v>11</v>
      </c>
      <c r="J102">
        <v>8</v>
      </c>
      <c r="K102">
        <v>5</v>
      </c>
      <c r="O102">
        <v>7.34</v>
      </c>
      <c r="P102">
        <v>11.19</v>
      </c>
      <c r="S102">
        <v>0</v>
      </c>
      <c r="U102" t="s">
        <v>33</v>
      </c>
      <c r="V102" t="s">
        <v>32</v>
      </c>
      <c r="W102">
        <v>22</v>
      </c>
      <c r="X102">
        <v>14</v>
      </c>
      <c r="Y102" t="s">
        <v>153</v>
      </c>
      <c r="Z102" t="s">
        <v>189</v>
      </c>
      <c r="AA102" t="s">
        <v>149</v>
      </c>
      <c r="AB102" t="str">
        <f t="shared" si="3"/>
        <v>No Catch</v>
      </c>
      <c r="AC102">
        <f t="shared" si="4"/>
        <v>3.8499999999999996</v>
      </c>
      <c r="AD102">
        <f t="shared" si="5"/>
        <v>0</v>
      </c>
    </row>
    <row r="103" spans="1:31" x14ac:dyDescent="0.5">
      <c r="B103" s="1">
        <v>4</v>
      </c>
      <c r="C103" s="1" t="s">
        <v>101</v>
      </c>
      <c r="D103" s="1">
        <v>20</v>
      </c>
      <c r="F103" s="1" t="s">
        <v>156</v>
      </c>
      <c r="G103" s="1" t="s">
        <v>99</v>
      </c>
      <c r="H103" s="1" t="s">
        <v>100</v>
      </c>
      <c r="I103">
        <v>11</v>
      </c>
      <c r="J103">
        <v>6</v>
      </c>
      <c r="K103">
        <v>5</v>
      </c>
      <c r="L103">
        <v>34</v>
      </c>
      <c r="M103">
        <v>10</v>
      </c>
      <c r="Q103">
        <v>7.81</v>
      </c>
      <c r="R103">
        <v>10.67</v>
      </c>
      <c r="S103">
        <v>11</v>
      </c>
      <c r="AB103" t="str">
        <f t="shared" si="3"/>
        <v>No Catch</v>
      </c>
      <c r="AC103">
        <f t="shared" si="4"/>
        <v>0</v>
      </c>
      <c r="AD103">
        <f t="shared" si="5"/>
        <v>2.8600000000000003</v>
      </c>
    </row>
    <row r="104" spans="1:31" x14ac:dyDescent="0.5">
      <c r="B104" s="1">
        <v>5</v>
      </c>
      <c r="C104" s="1" t="s">
        <v>101</v>
      </c>
      <c r="D104" s="1">
        <v>10</v>
      </c>
      <c r="F104" s="1" t="s">
        <v>156</v>
      </c>
      <c r="G104" s="1" t="s">
        <v>182</v>
      </c>
      <c r="I104">
        <v>11</v>
      </c>
      <c r="J104">
        <v>6</v>
      </c>
      <c r="K104">
        <v>5</v>
      </c>
      <c r="S104">
        <v>3</v>
      </c>
      <c r="AB104" t="str">
        <f t="shared" si="3"/>
        <v>No Catch</v>
      </c>
      <c r="AC104">
        <f t="shared" si="4"/>
        <v>0</v>
      </c>
      <c r="AD104">
        <f t="shared" si="5"/>
        <v>0</v>
      </c>
    </row>
    <row r="105" spans="1:31" x14ac:dyDescent="0.5">
      <c r="A105" t="s">
        <v>104</v>
      </c>
      <c r="B105" s="1">
        <v>15</v>
      </c>
      <c r="C105" t="s">
        <v>228</v>
      </c>
      <c r="D105" s="1">
        <v>50</v>
      </c>
      <c r="F105" s="1" t="s">
        <v>156</v>
      </c>
      <c r="G105" s="1" t="s">
        <v>175</v>
      </c>
      <c r="H105" t="s">
        <v>47</v>
      </c>
      <c r="I105">
        <v>11</v>
      </c>
      <c r="J105">
        <v>7</v>
      </c>
      <c r="K105">
        <v>5</v>
      </c>
      <c r="O105">
        <v>12.14</v>
      </c>
      <c r="P105">
        <v>13.71</v>
      </c>
      <c r="S105">
        <v>0</v>
      </c>
      <c r="U105" t="s">
        <v>163</v>
      </c>
      <c r="V105" t="s">
        <v>28</v>
      </c>
      <c r="W105">
        <v>1.5</v>
      </c>
      <c r="X105">
        <v>4</v>
      </c>
      <c r="Y105" t="s">
        <v>166</v>
      </c>
      <c r="Z105" t="s">
        <v>208</v>
      </c>
      <c r="AA105" t="s">
        <v>209</v>
      </c>
      <c r="AB105" t="str">
        <f t="shared" si="3"/>
        <v>No Catch</v>
      </c>
      <c r="AC105">
        <f t="shared" si="4"/>
        <v>1.5700000000000003</v>
      </c>
      <c r="AD105">
        <f t="shared" si="5"/>
        <v>0</v>
      </c>
    </row>
    <row r="106" spans="1:31" x14ac:dyDescent="0.5">
      <c r="B106" s="1">
        <v>16</v>
      </c>
      <c r="C106" t="s">
        <v>101</v>
      </c>
      <c r="D106" s="1">
        <v>40</v>
      </c>
      <c r="F106" s="1" t="s">
        <v>156</v>
      </c>
      <c r="G106" s="1" t="s">
        <v>175</v>
      </c>
      <c r="H106" s="1" t="s">
        <v>100</v>
      </c>
      <c r="I106">
        <v>11</v>
      </c>
      <c r="J106">
        <v>5</v>
      </c>
      <c r="K106">
        <v>5</v>
      </c>
      <c r="O106">
        <v>15.46</v>
      </c>
      <c r="P106">
        <v>17</v>
      </c>
      <c r="S106">
        <v>0</v>
      </c>
      <c r="U106" t="s">
        <v>163</v>
      </c>
      <c r="V106" t="s">
        <v>28</v>
      </c>
      <c r="W106">
        <v>6</v>
      </c>
      <c r="X106">
        <v>14</v>
      </c>
      <c r="Y106" t="s">
        <v>166</v>
      </c>
      <c r="Z106" t="s">
        <v>151</v>
      </c>
      <c r="AA106" t="s">
        <v>210</v>
      </c>
      <c r="AB106" t="str">
        <f t="shared" si="3"/>
        <v>No Catch</v>
      </c>
      <c r="AC106">
        <f t="shared" si="4"/>
        <v>1.5399999999999991</v>
      </c>
      <c r="AD106">
        <f t="shared" si="5"/>
        <v>0</v>
      </c>
    </row>
    <row r="107" spans="1:31" x14ac:dyDescent="0.5">
      <c r="B107" s="1">
        <v>17</v>
      </c>
      <c r="C107" t="s">
        <v>101</v>
      </c>
      <c r="D107" s="1">
        <v>30</v>
      </c>
      <c r="F107" s="1" t="s">
        <v>156</v>
      </c>
      <c r="G107" s="1" t="s">
        <v>175</v>
      </c>
      <c r="H107" s="1" t="s">
        <v>100</v>
      </c>
      <c r="I107">
        <v>11</v>
      </c>
      <c r="J107">
        <v>5</v>
      </c>
      <c r="K107">
        <v>5</v>
      </c>
      <c r="O107">
        <v>4.1399999999999997</v>
      </c>
      <c r="P107">
        <v>6.36</v>
      </c>
      <c r="S107">
        <v>-1</v>
      </c>
      <c r="U107" t="s">
        <v>48</v>
      </c>
      <c r="V107" t="s">
        <v>32</v>
      </c>
      <c r="W107">
        <v>-4.5</v>
      </c>
      <c r="X107">
        <v>34</v>
      </c>
      <c r="Y107" t="s">
        <v>166</v>
      </c>
      <c r="Z107" t="s">
        <v>195</v>
      </c>
      <c r="AA107" t="s">
        <v>184</v>
      </c>
      <c r="AB107">
        <f t="shared" si="3"/>
        <v>3.5</v>
      </c>
      <c r="AC107">
        <f t="shared" si="4"/>
        <v>2.2200000000000006</v>
      </c>
      <c r="AD107">
        <f t="shared" si="5"/>
        <v>0</v>
      </c>
    </row>
    <row r="108" spans="1:31" x14ac:dyDescent="0.5">
      <c r="B108" s="1">
        <v>18</v>
      </c>
      <c r="C108" t="s">
        <v>101</v>
      </c>
      <c r="D108" s="1">
        <v>20</v>
      </c>
      <c r="F108" s="1" t="s">
        <v>156</v>
      </c>
      <c r="G108" s="1" t="s">
        <v>174</v>
      </c>
      <c r="I108">
        <v>11</v>
      </c>
      <c r="J108">
        <v>6</v>
      </c>
      <c r="K108">
        <v>5</v>
      </c>
      <c r="O108">
        <v>2.21</v>
      </c>
      <c r="P108">
        <v>5.26</v>
      </c>
      <c r="S108">
        <v>-10</v>
      </c>
      <c r="AB108" t="str">
        <f t="shared" si="3"/>
        <v>No Catch</v>
      </c>
      <c r="AC108">
        <f t="shared" si="4"/>
        <v>3.05</v>
      </c>
      <c r="AD108">
        <f t="shared" si="5"/>
        <v>0</v>
      </c>
    </row>
    <row r="109" spans="1:31" x14ac:dyDescent="0.5">
      <c r="B109" s="1">
        <v>19</v>
      </c>
      <c r="C109" t="s">
        <v>101</v>
      </c>
      <c r="D109" s="1">
        <v>10</v>
      </c>
      <c r="F109" s="1" t="s">
        <v>156</v>
      </c>
      <c r="G109" s="1" t="s">
        <v>99</v>
      </c>
      <c r="H109" s="1" t="s">
        <v>102</v>
      </c>
      <c r="I109">
        <v>11</v>
      </c>
      <c r="J109">
        <v>6</v>
      </c>
      <c r="K109">
        <v>5</v>
      </c>
      <c r="L109">
        <v>34</v>
      </c>
      <c r="M109">
        <v>2</v>
      </c>
      <c r="Q109">
        <v>6</v>
      </c>
      <c r="R109">
        <v>7.07</v>
      </c>
      <c r="S109">
        <v>2</v>
      </c>
      <c r="AB109" t="str">
        <f t="shared" si="3"/>
        <v>No Catch</v>
      </c>
      <c r="AC109">
        <f t="shared" si="4"/>
        <v>0</v>
      </c>
      <c r="AD109">
        <f t="shared" si="5"/>
        <v>1.0700000000000003</v>
      </c>
    </row>
    <row r="110" spans="1:31" x14ac:dyDescent="0.5">
      <c r="A110" t="s">
        <v>211</v>
      </c>
      <c r="B110" s="1">
        <v>1</v>
      </c>
      <c r="C110" t="s">
        <v>3</v>
      </c>
      <c r="D110" s="1">
        <v>30</v>
      </c>
      <c r="F110" s="1" t="s">
        <v>156</v>
      </c>
      <c r="G110" s="1" t="s">
        <v>175</v>
      </c>
      <c r="H110" s="1" t="s">
        <v>47</v>
      </c>
      <c r="I110">
        <v>11</v>
      </c>
      <c r="J110">
        <v>7</v>
      </c>
      <c r="K110">
        <v>5</v>
      </c>
      <c r="O110">
        <v>10.17</v>
      </c>
      <c r="P110">
        <v>11.18</v>
      </c>
      <c r="S110">
        <v>10</v>
      </c>
      <c r="U110" t="s">
        <v>48</v>
      </c>
      <c r="V110" t="s">
        <v>32</v>
      </c>
      <c r="W110">
        <v>0</v>
      </c>
      <c r="X110">
        <v>4</v>
      </c>
      <c r="Y110" t="s">
        <v>166</v>
      </c>
      <c r="Z110" t="s">
        <v>191</v>
      </c>
      <c r="AA110" t="s">
        <v>185</v>
      </c>
      <c r="AB110">
        <f t="shared" si="3"/>
        <v>10</v>
      </c>
      <c r="AC110">
        <f t="shared" si="4"/>
        <v>1.0099999999999998</v>
      </c>
      <c r="AD110">
        <f t="shared" si="5"/>
        <v>0</v>
      </c>
      <c r="AE110" t="s">
        <v>212</v>
      </c>
    </row>
    <row r="111" spans="1:31" x14ac:dyDescent="0.5">
      <c r="B111" s="1">
        <v>2</v>
      </c>
      <c r="C111" t="s">
        <v>3</v>
      </c>
      <c r="D111" s="1">
        <v>30</v>
      </c>
      <c r="F111" s="1" t="s">
        <v>156</v>
      </c>
      <c r="G111" s="1" t="s">
        <v>99</v>
      </c>
      <c r="H111" s="1" t="s">
        <v>102</v>
      </c>
      <c r="I111">
        <v>11</v>
      </c>
      <c r="J111">
        <v>6</v>
      </c>
      <c r="K111">
        <v>5</v>
      </c>
      <c r="L111">
        <v>34</v>
      </c>
      <c r="M111">
        <v>5.5</v>
      </c>
      <c r="Q111">
        <v>22.74</v>
      </c>
      <c r="R111">
        <v>25.02</v>
      </c>
      <c r="S111">
        <v>11</v>
      </c>
      <c r="AB111" t="str">
        <f t="shared" si="3"/>
        <v>No Catch</v>
      </c>
      <c r="AC111">
        <f t="shared" si="4"/>
        <v>0</v>
      </c>
      <c r="AD111">
        <f t="shared" si="5"/>
        <v>2.2800000000000011</v>
      </c>
    </row>
    <row r="112" spans="1:31" x14ac:dyDescent="0.5">
      <c r="B112" s="1">
        <v>3</v>
      </c>
      <c r="C112" t="s">
        <v>3</v>
      </c>
      <c r="D112" s="1">
        <v>30</v>
      </c>
      <c r="F112" s="1" t="s">
        <v>155</v>
      </c>
      <c r="G112" s="1" t="s">
        <v>99</v>
      </c>
      <c r="H112" s="1" t="s">
        <v>100</v>
      </c>
      <c r="I112">
        <v>11</v>
      </c>
      <c r="J112">
        <v>6</v>
      </c>
      <c r="K112">
        <v>5</v>
      </c>
      <c r="L112">
        <v>34</v>
      </c>
      <c r="M112">
        <v>8</v>
      </c>
      <c r="Q112">
        <v>12.58</v>
      </c>
      <c r="R112">
        <v>14.85</v>
      </c>
      <c r="S112">
        <v>8</v>
      </c>
      <c r="AB112" t="str">
        <f t="shared" si="3"/>
        <v>No Catch</v>
      </c>
      <c r="AC112">
        <f t="shared" si="4"/>
        <v>0</v>
      </c>
      <c r="AD112">
        <f t="shared" si="5"/>
        <v>2.2699999999999996</v>
      </c>
    </row>
    <row r="113" spans="1:30" x14ac:dyDescent="0.5">
      <c r="B113" s="1">
        <v>4</v>
      </c>
      <c r="C113" t="s">
        <v>3</v>
      </c>
      <c r="D113" s="1">
        <v>30</v>
      </c>
      <c r="F113" s="1" t="s">
        <v>155</v>
      </c>
      <c r="G113" s="1" t="s">
        <v>182</v>
      </c>
      <c r="I113">
        <v>21</v>
      </c>
      <c r="J113">
        <v>7</v>
      </c>
      <c r="K113">
        <v>5</v>
      </c>
      <c r="S113">
        <v>7</v>
      </c>
      <c r="AB113" t="str">
        <f t="shared" si="3"/>
        <v>No Catch</v>
      </c>
      <c r="AC113">
        <f t="shared" si="4"/>
        <v>0</v>
      </c>
      <c r="AD113">
        <f t="shared" si="5"/>
        <v>0</v>
      </c>
    </row>
    <row r="114" spans="1:30" x14ac:dyDescent="0.5">
      <c r="A114" t="s">
        <v>104</v>
      </c>
      <c r="B114" s="1">
        <v>13</v>
      </c>
      <c r="C114" t="s">
        <v>3</v>
      </c>
      <c r="D114" s="1">
        <v>30</v>
      </c>
      <c r="F114" s="1" t="s">
        <v>155</v>
      </c>
      <c r="G114" s="1" t="s">
        <v>175</v>
      </c>
      <c r="H114" s="1" t="s">
        <v>102</v>
      </c>
      <c r="I114">
        <v>11</v>
      </c>
      <c r="J114">
        <v>7</v>
      </c>
      <c r="K114">
        <v>5</v>
      </c>
      <c r="O114">
        <v>14.3</v>
      </c>
      <c r="P114">
        <v>18.37</v>
      </c>
      <c r="S114">
        <v>10</v>
      </c>
      <c r="U114" t="s">
        <v>48</v>
      </c>
      <c r="V114" t="s">
        <v>32</v>
      </c>
      <c r="W114">
        <v>3</v>
      </c>
      <c r="X114">
        <v>34</v>
      </c>
      <c r="Y114" t="s">
        <v>153</v>
      </c>
      <c r="Z114" t="s">
        <v>195</v>
      </c>
      <c r="AA114" t="s">
        <v>213</v>
      </c>
      <c r="AB114">
        <f t="shared" ref="AB114:AB177" si="6">IF($U114="Catch",$S114-$W114,"No Catch")</f>
        <v>7</v>
      </c>
      <c r="AC114">
        <f t="shared" si="4"/>
        <v>4.07</v>
      </c>
      <c r="AD114">
        <f t="shared" si="5"/>
        <v>0</v>
      </c>
    </row>
    <row r="115" spans="1:30" x14ac:dyDescent="0.5">
      <c r="B115" s="1">
        <v>14</v>
      </c>
      <c r="C115" t="s">
        <v>3</v>
      </c>
      <c r="D115" s="1">
        <v>30</v>
      </c>
      <c r="F115" s="1" t="s">
        <v>156</v>
      </c>
      <c r="G115" s="1" t="s">
        <v>174</v>
      </c>
      <c r="I115">
        <v>11</v>
      </c>
      <c r="J115">
        <v>8</v>
      </c>
      <c r="K115">
        <v>5</v>
      </c>
      <c r="O115">
        <v>4.04</v>
      </c>
      <c r="P115">
        <v>7.3</v>
      </c>
      <c r="S115">
        <v>-9</v>
      </c>
      <c r="Y115" t="s">
        <v>153</v>
      </c>
      <c r="AB115" t="str">
        <f t="shared" si="6"/>
        <v>No Catch</v>
      </c>
      <c r="AC115">
        <f t="shared" si="4"/>
        <v>3.26</v>
      </c>
      <c r="AD115">
        <f t="shared" si="5"/>
        <v>0</v>
      </c>
    </row>
    <row r="116" spans="1:30" x14ac:dyDescent="0.5">
      <c r="B116" s="1">
        <v>15</v>
      </c>
      <c r="C116" t="s">
        <v>3</v>
      </c>
      <c r="D116" s="1">
        <v>30</v>
      </c>
      <c r="F116" s="1" t="s">
        <v>155</v>
      </c>
      <c r="G116" s="1" t="s">
        <v>99</v>
      </c>
      <c r="H116" s="1" t="s">
        <v>102</v>
      </c>
      <c r="I116">
        <v>11</v>
      </c>
      <c r="J116">
        <v>7</v>
      </c>
      <c r="K116">
        <v>5</v>
      </c>
      <c r="L116">
        <v>34</v>
      </c>
      <c r="M116">
        <v>5</v>
      </c>
      <c r="Q116">
        <v>10.84</v>
      </c>
      <c r="R116">
        <v>13.06</v>
      </c>
      <c r="S116">
        <v>7</v>
      </c>
      <c r="AB116" t="str">
        <f t="shared" si="6"/>
        <v>No Catch</v>
      </c>
      <c r="AC116">
        <f t="shared" si="4"/>
        <v>0</v>
      </c>
      <c r="AD116">
        <f t="shared" si="5"/>
        <v>2.2200000000000006</v>
      </c>
    </row>
    <row r="117" spans="1:30" x14ac:dyDescent="0.5">
      <c r="B117" s="1">
        <v>16</v>
      </c>
      <c r="C117" t="s">
        <v>3</v>
      </c>
      <c r="D117" s="1">
        <v>30</v>
      </c>
      <c r="F117" s="1" t="s">
        <v>156</v>
      </c>
      <c r="G117" s="1" t="s">
        <v>99</v>
      </c>
      <c r="H117" s="1" t="s">
        <v>100</v>
      </c>
      <c r="I117">
        <v>12</v>
      </c>
      <c r="J117">
        <v>7</v>
      </c>
      <c r="K117">
        <v>5</v>
      </c>
      <c r="L117">
        <v>34</v>
      </c>
      <c r="M117">
        <v>2</v>
      </c>
      <c r="Q117">
        <v>4.29</v>
      </c>
      <c r="R117">
        <v>5.59</v>
      </c>
      <c r="S117">
        <v>3</v>
      </c>
      <c r="AB117" t="str">
        <f t="shared" si="6"/>
        <v>No Catch</v>
      </c>
      <c r="AC117">
        <f t="shared" si="4"/>
        <v>0</v>
      </c>
      <c r="AD117">
        <f t="shared" si="5"/>
        <v>1.2999999999999998</v>
      </c>
    </row>
    <row r="118" spans="1:30" x14ac:dyDescent="0.5">
      <c r="A118" t="s">
        <v>214</v>
      </c>
      <c r="B118" s="1">
        <v>1</v>
      </c>
      <c r="C118" t="s">
        <v>3</v>
      </c>
      <c r="D118" s="1">
        <v>30</v>
      </c>
      <c r="F118" s="1" t="s">
        <v>156</v>
      </c>
      <c r="G118" s="1" t="s">
        <v>99</v>
      </c>
      <c r="H118" s="1" t="s">
        <v>102</v>
      </c>
      <c r="I118">
        <v>12</v>
      </c>
      <c r="J118">
        <v>7</v>
      </c>
      <c r="K118">
        <v>5</v>
      </c>
      <c r="L118">
        <v>34</v>
      </c>
      <c r="M118">
        <v>-3</v>
      </c>
      <c r="Q118">
        <v>8.65</v>
      </c>
      <c r="R118">
        <v>10.67</v>
      </c>
      <c r="S118">
        <v>-1.5</v>
      </c>
      <c r="AB118" t="str">
        <f t="shared" si="6"/>
        <v>No Catch</v>
      </c>
      <c r="AC118">
        <f t="shared" si="4"/>
        <v>0</v>
      </c>
      <c r="AD118">
        <f t="shared" si="5"/>
        <v>2.0199999999999996</v>
      </c>
    </row>
    <row r="119" spans="1:30" x14ac:dyDescent="0.5">
      <c r="B119" s="1">
        <v>2</v>
      </c>
      <c r="C119" t="s">
        <v>3</v>
      </c>
      <c r="D119" s="1">
        <v>30</v>
      </c>
      <c r="F119" s="1" t="s">
        <v>156</v>
      </c>
      <c r="G119" s="1" t="s">
        <v>99</v>
      </c>
      <c r="H119" s="1" t="s">
        <v>100</v>
      </c>
      <c r="I119">
        <v>12</v>
      </c>
      <c r="J119">
        <v>7</v>
      </c>
      <c r="K119">
        <v>5</v>
      </c>
      <c r="L119">
        <v>34</v>
      </c>
      <c r="M119">
        <v>4</v>
      </c>
      <c r="Q119">
        <v>9.02</v>
      </c>
      <c r="R119">
        <v>10.87</v>
      </c>
      <c r="S119">
        <v>6</v>
      </c>
      <c r="AB119" t="str">
        <f t="shared" si="6"/>
        <v>No Catch</v>
      </c>
      <c r="AC119">
        <f t="shared" si="4"/>
        <v>0</v>
      </c>
      <c r="AD119">
        <f t="shared" si="5"/>
        <v>1.8499999999999996</v>
      </c>
    </row>
    <row r="120" spans="1:30" x14ac:dyDescent="0.5">
      <c r="A120" t="s">
        <v>215</v>
      </c>
      <c r="B120" s="1">
        <v>3</v>
      </c>
      <c r="C120" t="s">
        <v>3</v>
      </c>
      <c r="D120" s="1">
        <v>30</v>
      </c>
      <c r="F120" s="1" t="s">
        <v>156</v>
      </c>
      <c r="G120" s="1" t="s">
        <v>182</v>
      </c>
      <c r="I120">
        <v>21</v>
      </c>
      <c r="J120">
        <v>7</v>
      </c>
      <c r="K120">
        <v>5</v>
      </c>
      <c r="S120">
        <v>14</v>
      </c>
      <c r="Y120" t="s">
        <v>153</v>
      </c>
      <c r="AB120" t="str">
        <f t="shared" si="6"/>
        <v>No Catch</v>
      </c>
      <c r="AC120">
        <f t="shared" si="4"/>
        <v>0</v>
      </c>
      <c r="AD120">
        <f t="shared" si="5"/>
        <v>0</v>
      </c>
    </row>
    <row r="121" spans="1:30" x14ac:dyDescent="0.5">
      <c r="B121" s="1">
        <v>4</v>
      </c>
      <c r="C121" t="s">
        <v>3</v>
      </c>
      <c r="D121" s="1">
        <v>30</v>
      </c>
      <c r="F121" s="1" t="s">
        <v>156</v>
      </c>
      <c r="G121" s="1" t="s">
        <v>174</v>
      </c>
      <c r="H121" s="1"/>
      <c r="I121">
        <v>11</v>
      </c>
      <c r="J121">
        <v>6</v>
      </c>
      <c r="K121">
        <v>5</v>
      </c>
      <c r="O121">
        <v>7.4</v>
      </c>
      <c r="P121">
        <v>8.39</v>
      </c>
      <c r="S121">
        <v>-5</v>
      </c>
      <c r="Y121" t="s">
        <v>166</v>
      </c>
      <c r="AB121" t="str">
        <f t="shared" si="6"/>
        <v>No Catch</v>
      </c>
      <c r="AC121">
        <f t="shared" si="4"/>
        <v>0.99000000000000021</v>
      </c>
      <c r="AD121">
        <f t="shared" si="5"/>
        <v>0</v>
      </c>
    </row>
    <row r="122" spans="1:30" x14ac:dyDescent="0.5">
      <c r="B122" s="1">
        <v>5</v>
      </c>
      <c r="C122" t="s">
        <v>3</v>
      </c>
      <c r="D122" s="1">
        <v>30</v>
      </c>
      <c r="F122" s="1" t="s">
        <v>156</v>
      </c>
      <c r="G122" s="1" t="s">
        <v>174</v>
      </c>
      <c r="I122">
        <v>11</v>
      </c>
      <c r="J122">
        <v>6</v>
      </c>
      <c r="K122">
        <v>5</v>
      </c>
      <c r="O122">
        <v>12.65</v>
      </c>
      <c r="P122">
        <v>15.9</v>
      </c>
      <c r="S122">
        <v>-5</v>
      </c>
      <c r="Y122" t="s">
        <v>153</v>
      </c>
      <c r="AB122" t="str">
        <f t="shared" si="6"/>
        <v>No Catch</v>
      </c>
      <c r="AC122">
        <f t="shared" si="4"/>
        <v>3.25</v>
      </c>
      <c r="AD122">
        <f t="shared" si="5"/>
        <v>0</v>
      </c>
    </row>
    <row r="123" spans="1:30" x14ac:dyDescent="0.5">
      <c r="B123" s="1">
        <v>6</v>
      </c>
      <c r="C123" t="s">
        <v>3</v>
      </c>
      <c r="D123" s="1">
        <v>30</v>
      </c>
      <c r="F123" s="1" t="s">
        <v>156</v>
      </c>
      <c r="G123" s="1" t="s">
        <v>99</v>
      </c>
      <c r="H123" s="1" t="s">
        <v>100</v>
      </c>
      <c r="I123">
        <v>11</v>
      </c>
      <c r="J123">
        <v>7</v>
      </c>
      <c r="K123">
        <v>5</v>
      </c>
      <c r="L123">
        <v>34</v>
      </c>
      <c r="M123">
        <v>2.5</v>
      </c>
      <c r="Q123">
        <v>7.95</v>
      </c>
      <c r="R123">
        <v>9.74</v>
      </c>
      <c r="S123">
        <v>5</v>
      </c>
      <c r="AB123" t="str">
        <f t="shared" si="6"/>
        <v>No Catch</v>
      </c>
      <c r="AC123">
        <f t="shared" si="4"/>
        <v>0</v>
      </c>
      <c r="AD123">
        <f t="shared" si="5"/>
        <v>1.79</v>
      </c>
    </row>
    <row r="124" spans="1:30" x14ac:dyDescent="0.5">
      <c r="B124" s="1">
        <v>13</v>
      </c>
      <c r="C124" t="s">
        <v>3</v>
      </c>
      <c r="D124" s="1">
        <v>30</v>
      </c>
      <c r="F124" s="1" t="s">
        <v>156</v>
      </c>
      <c r="G124" s="1" t="s">
        <v>99</v>
      </c>
      <c r="H124" s="1" t="s">
        <v>100</v>
      </c>
      <c r="I124">
        <v>11</v>
      </c>
      <c r="J124">
        <v>7</v>
      </c>
      <c r="K124">
        <v>5</v>
      </c>
      <c r="L124">
        <v>34</v>
      </c>
      <c r="M124">
        <v>3</v>
      </c>
      <c r="Q124">
        <v>5.21</v>
      </c>
      <c r="R124">
        <v>6.48</v>
      </c>
      <c r="S124">
        <v>10</v>
      </c>
      <c r="AB124" t="str">
        <f t="shared" si="6"/>
        <v>No Catch</v>
      </c>
      <c r="AC124">
        <f t="shared" si="4"/>
        <v>0</v>
      </c>
      <c r="AD124">
        <f t="shared" si="5"/>
        <v>1.2700000000000005</v>
      </c>
    </row>
    <row r="125" spans="1:30" x14ac:dyDescent="0.5">
      <c r="B125" s="1">
        <v>14</v>
      </c>
      <c r="C125" t="s">
        <v>3</v>
      </c>
      <c r="D125" s="1">
        <v>30</v>
      </c>
      <c r="F125" s="1" t="s">
        <v>156</v>
      </c>
      <c r="G125" s="1" t="s">
        <v>99</v>
      </c>
      <c r="H125" t="s">
        <v>102</v>
      </c>
      <c r="I125">
        <v>12</v>
      </c>
      <c r="J125">
        <v>7</v>
      </c>
      <c r="K125">
        <v>5</v>
      </c>
      <c r="L125">
        <v>34</v>
      </c>
      <c r="M125">
        <v>-3</v>
      </c>
      <c r="Q125">
        <v>5.9</v>
      </c>
      <c r="R125">
        <v>7.11</v>
      </c>
      <c r="S125">
        <v>-1</v>
      </c>
      <c r="AB125" t="str">
        <f t="shared" si="6"/>
        <v>No Catch</v>
      </c>
      <c r="AC125">
        <f t="shared" si="4"/>
        <v>0</v>
      </c>
      <c r="AD125">
        <f t="shared" si="5"/>
        <v>1.21</v>
      </c>
    </row>
    <row r="126" spans="1:30" x14ac:dyDescent="0.5">
      <c r="B126" s="1">
        <v>15</v>
      </c>
      <c r="C126" t="s">
        <v>3</v>
      </c>
      <c r="D126" s="1">
        <v>30</v>
      </c>
      <c r="F126" s="1" t="s">
        <v>156</v>
      </c>
      <c r="G126" s="1" t="s">
        <v>99</v>
      </c>
      <c r="H126" s="1" t="s">
        <v>100</v>
      </c>
      <c r="I126">
        <v>11</v>
      </c>
      <c r="J126">
        <v>7</v>
      </c>
      <c r="K126">
        <v>5</v>
      </c>
      <c r="L126">
        <v>34</v>
      </c>
      <c r="M126">
        <v>2</v>
      </c>
      <c r="Q126">
        <v>11.92</v>
      </c>
      <c r="R126">
        <v>13.11</v>
      </c>
      <c r="S126">
        <v>3.5</v>
      </c>
      <c r="AB126" t="str">
        <f t="shared" si="6"/>
        <v>No Catch</v>
      </c>
      <c r="AC126">
        <f t="shared" si="4"/>
        <v>0</v>
      </c>
      <c r="AD126">
        <f t="shared" si="5"/>
        <v>1.1899999999999995</v>
      </c>
    </row>
    <row r="127" spans="1:30" x14ac:dyDescent="0.5">
      <c r="B127" s="1">
        <v>16</v>
      </c>
      <c r="C127" t="s">
        <v>3</v>
      </c>
      <c r="D127" s="1">
        <v>30</v>
      </c>
      <c r="F127" s="1" t="s">
        <v>156</v>
      </c>
      <c r="G127" s="1" t="s">
        <v>182</v>
      </c>
      <c r="I127">
        <v>11</v>
      </c>
      <c r="J127">
        <v>7</v>
      </c>
      <c r="K127">
        <v>5</v>
      </c>
      <c r="S127">
        <v>7</v>
      </c>
      <c r="Y127" t="s">
        <v>153</v>
      </c>
      <c r="AB127" t="str">
        <f t="shared" si="6"/>
        <v>No Catch</v>
      </c>
      <c r="AC127">
        <f t="shared" si="4"/>
        <v>0</v>
      </c>
      <c r="AD127">
        <f t="shared" si="5"/>
        <v>0</v>
      </c>
    </row>
    <row r="128" spans="1:30" x14ac:dyDescent="0.5">
      <c r="B128" s="1">
        <v>17</v>
      </c>
      <c r="C128" t="s">
        <v>3</v>
      </c>
      <c r="D128" s="1">
        <v>30</v>
      </c>
      <c r="F128" s="1" t="s">
        <v>156</v>
      </c>
      <c r="G128" s="1" t="s">
        <v>175</v>
      </c>
      <c r="H128" s="1" t="s">
        <v>100</v>
      </c>
      <c r="I128">
        <v>11</v>
      </c>
      <c r="J128">
        <v>6</v>
      </c>
      <c r="K128">
        <v>5</v>
      </c>
      <c r="O128">
        <v>14.05</v>
      </c>
      <c r="P128">
        <v>17.190000000000001</v>
      </c>
      <c r="S128">
        <v>0</v>
      </c>
      <c r="U128" t="s">
        <v>163</v>
      </c>
      <c r="V128" t="s">
        <v>31</v>
      </c>
      <c r="W128">
        <v>15</v>
      </c>
      <c r="X128">
        <v>14</v>
      </c>
      <c r="Y128" t="s">
        <v>153</v>
      </c>
      <c r="Z128" t="s">
        <v>216</v>
      </c>
      <c r="AA128" t="s">
        <v>217</v>
      </c>
      <c r="AB128" t="str">
        <f t="shared" si="6"/>
        <v>No Catch</v>
      </c>
      <c r="AC128">
        <f t="shared" si="4"/>
        <v>3.1400000000000006</v>
      </c>
      <c r="AD128">
        <f t="shared" si="5"/>
        <v>0</v>
      </c>
    </row>
    <row r="129" spans="1:30" x14ac:dyDescent="0.5">
      <c r="B129" s="1">
        <v>18</v>
      </c>
      <c r="C129" t="s">
        <v>3</v>
      </c>
      <c r="D129" s="1">
        <v>30</v>
      </c>
      <c r="F129" s="1" t="s">
        <v>156</v>
      </c>
      <c r="G129" s="1" t="s">
        <v>99</v>
      </c>
      <c r="H129" s="1" t="s">
        <v>47</v>
      </c>
      <c r="I129">
        <v>11</v>
      </c>
      <c r="J129">
        <v>7</v>
      </c>
      <c r="K129">
        <v>5</v>
      </c>
      <c r="L129">
        <v>34</v>
      </c>
      <c r="M129">
        <v>1</v>
      </c>
      <c r="Q129">
        <v>4.1399999999999997</v>
      </c>
      <c r="R129">
        <v>5.19</v>
      </c>
      <c r="S129">
        <v>3</v>
      </c>
      <c r="AB129" t="str">
        <f t="shared" si="6"/>
        <v>No Catch</v>
      </c>
      <c r="AC129">
        <f t="shared" si="4"/>
        <v>0</v>
      </c>
      <c r="AD129">
        <f t="shared" si="5"/>
        <v>1.0500000000000007</v>
      </c>
    </row>
    <row r="130" spans="1:30" x14ac:dyDescent="0.5">
      <c r="A130" t="s">
        <v>218</v>
      </c>
      <c r="B130" s="1">
        <v>1</v>
      </c>
      <c r="C130" t="s">
        <v>3</v>
      </c>
      <c r="D130" s="1">
        <v>30</v>
      </c>
      <c r="F130" s="1" t="s">
        <v>156</v>
      </c>
      <c r="G130" s="1" t="s">
        <v>99</v>
      </c>
      <c r="H130" s="1" t="s">
        <v>100</v>
      </c>
      <c r="I130">
        <v>12</v>
      </c>
      <c r="J130">
        <v>7</v>
      </c>
      <c r="K130">
        <v>5</v>
      </c>
      <c r="L130">
        <v>34</v>
      </c>
      <c r="M130">
        <v>14</v>
      </c>
      <c r="Q130">
        <v>7.78</v>
      </c>
      <c r="R130">
        <v>11.45</v>
      </c>
      <c r="S130">
        <v>15</v>
      </c>
      <c r="AB130" t="str">
        <f t="shared" si="6"/>
        <v>No Catch</v>
      </c>
      <c r="AC130">
        <f t="shared" si="4"/>
        <v>0</v>
      </c>
      <c r="AD130">
        <f t="shared" si="5"/>
        <v>3.669999999999999</v>
      </c>
    </row>
    <row r="131" spans="1:30" x14ac:dyDescent="0.5">
      <c r="B131" s="1">
        <v>2</v>
      </c>
      <c r="C131" t="s">
        <v>3</v>
      </c>
      <c r="D131" s="1">
        <v>45</v>
      </c>
      <c r="F131" s="1" t="s">
        <v>156</v>
      </c>
      <c r="G131" s="1" t="s">
        <v>99</v>
      </c>
      <c r="H131" s="1" t="s">
        <v>100</v>
      </c>
      <c r="I131">
        <v>11</v>
      </c>
      <c r="J131">
        <v>6</v>
      </c>
      <c r="K131">
        <v>5</v>
      </c>
      <c r="L131">
        <v>34</v>
      </c>
      <c r="M131">
        <v>-1</v>
      </c>
      <c r="Q131">
        <v>1.04</v>
      </c>
      <c r="R131">
        <v>2.08</v>
      </c>
      <c r="S131">
        <v>2</v>
      </c>
      <c r="AB131" t="str">
        <f t="shared" si="6"/>
        <v>No Catch</v>
      </c>
      <c r="AC131">
        <f t="shared" ref="AC131:AC194" si="7">$P131-$O131</f>
        <v>0</v>
      </c>
      <c r="AD131">
        <f>$R131-$Q131</f>
        <v>1.04</v>
      </c>
    </row>
    <row r="132" spans="1:30" x14ac:dyDescent="0.5">
      <c r="B132" s="1">
        <v>3</v>
      </c>
      <c r="C132" t="s">
        <v>101</v>
      </c>
      <c r="D132" s="1">
        <v>45</v>
      </c>
      <c r="F132" s="1" t="s">
        <v>156</v>
      </c>
      <c r="G132" s="1" t="s">
        <v>175</v>
      </c>
      <c r="H132" s="1" t="s">
        <v>47</v>
      </c>
      <c r="I132">
        <v>11</v>
      </c>
      <c r="J132">
        <v>7</v>
      </c>
      <c r="K132">
        <v>5</v>
      </c>
      <c r="O132">
        <v>8.73</v>
      </c>
      <c r="P132">
        <v>12.12</v>
      </c>
      <c r="S132">
        <v>8</v>
      </c>
      <c r="U132" t="s">
        <v>48</v>
      </c>
      <c r="V132" t="s">
        <v>32</v>
      </c>
      <c r="W132">
        <v>4.5</v>
      </c>
      <c r="X132">
        <v>14</v>
      </c>
      <c r="Y132" t="s">
        <v>166</v>
      </c>
      <c r="Z132" t="s">
        <v>216</v>
      </c>
      <c r="AA132" t="s">
        <v>219</v>
      </c>
      <c r="AB132">
        <f t="shared" si="6"/>
        <v>3.5</v>
      </c>
      <c r="AC132">
        <f t="shared" si="7"/>
        <v>3.3899999999999988</v>
      </c>
      <c r="AD132">
        <f t="shared" si="5"/>
        <v>0</v>
      </c>
    </row>
    <row r="133" spans="1:30" x14ac:dyDescent="0.5">
      <c r="B133" s="1">
        <v>4</v>
      </c>
      <c r="C133" t="s">
        <v>101</v>
      </c>
      <c r="D133" s="1">
        <v>35</v>
      </c>
      <c r="F133" s="1" t="s">
        <v>156</v>
      </c>
      <c r="G133" s="1" t="s">
        <v>182</v>
      </c>
      <c r="I133">
        <v>11</v>
      </c>
      <c r="J133">
        <v>6</v>
      </c>
      <c r="K133">
        <v>5</v>
      </c>
      <c r="S133">
        <v>7</v>
      </c>
      <c r="AB133" t="str">
        <f t="shared" si="6"/>
        <v>No Catch</v>
      </c>
      <c r="AC133">
        <f t="shared" si="7"/>
        <v>0</v>
      </c>
      <c r="AD133">
        <f t="shared" ref="AD133:AD196" si="8">$R133-$Q133</f>
        <v>0</v>
      </c>
    </row>
    <row r="134" spans="1:30" x14ac:dyDescent="0.5">
      <c r="B134" s="1">
        <v>5</v>
      </c>
      <c r="C134" t="s">
        <v>101</v>
      </c>
      <c r="D134" s="1">
        <v>25</v>
      </c>
      <c r="F134" s="1" t="s">
        <v>156</v>
      </c>
      <c r="G134" s="1" t="s">
        <v>175</v>
      </c>
      <c r="H134" s="1" t="s">
        <v>47</v>
      </c>
      <c r="I134">
        <v>11</v>
      </c>
      <c r="J134">
        <v>7</v>
      </c>
      <c r="K134">
        <v>5</v>
      </c>
      <c r="O134">
        <v>2.8</v>
      </c>
      <c r="P134">
        <v>5.25</v>
      </c>
      <c r="S134">
        <v>4</v>
      </c>
      <c r="U134" t="s">
        <v>48</v>
      </c>
      <c r="V134" t="s">
        <v>32</v>
      </c>
      <c r="W134">
        <v>-4</v>
      </c>
      <c r="X134">
        <v>34</v>
      </c>
      <c r="Y134" t="s">
        <v>166</v>
      </c>
      <c r="Z134" t="s">
        <v>197</v>
      </c>
      <c r="AA134" t="s">
        <v>184</v>
      </c>
      <c r="AB134">
        <f t="shared" si="6"/>
        <v>8</v>
      </c>
      <c r="AC134">
        <f t="shared" si="7"/>
        <v>2.4500000000000002</v>
      </c>
      <c r="AD134">
        <f t="shared" si="8"/>
        <v>0</v>
      </c>
    </row>
    <row r="135" spans="1:30" x14ac:dyDescent="0.5">
      <c r="B135" s="1">
        <v>6</v>
      </c>
      <c r="C135" t="s">
        <v>101</v>
      </c>
      <c r="D135" s="1">
        <v>15</v>
      </c>
      <c r="F135" s="1" t="s">
        <v>156</v>
      </c>
      <c r="G135" s="1" t="s">
        <v>175</v>
      </c>
      <c r="H135" s="1" t="s">
        <v>102</v>
      </c>
      <c r="I135">
        <v>11</v>
      </c>
      <c r="J135">
        <v>6</v>
      </c>
      <c r="K135">
        <v>5</v>
      </c>
      <c r="O135">
        <v>8.7799999999999994</v>
      </c>
      <c r="P135">
        <v>11.27</v>
      </c>
      <c r="S135">
        <v>15</v>
      </c>
      <c r="T135" t="s">
        <v>22</v>
      </c>
      <c r="U135" t="s">
        <v>48</v>
      </c>
      <c r="V135" t="s">
        <v>32</v>
      </c>
      <c r="W135">
        <v>15</v>
      </c>
      <c r="X135">
        <v>82</v>
      </c>
      <c r="Y135" t="s">
        <v>166</v>
      </c>
      <c r="Z135" t="s">
        <v>151</v>
      </c>
      <c r="AA135" t="s">
        <v>172</v>
      </c>
      <c r="AB135">
        <f t="shared" si="6"/>
        <v>0</v>
      </c>
      <c r="AC135">
        <f t="shared" si="7"/>
        <v>2.4900000000000002</v>
      </c>
      <c r="AD135">
        <f t="shared" si="8"/>
        <v>0</v>
      </c>
    </row>
    <row r="136" spans="1:30" x14ac:dyDescent="0.5">
      <c r="A136" t="s">
        <v>104</v>
      </c>
      <c r="B136" s="1">
        <v>13</v>
      </c>
      <c r="C136" t="s">
        <v>3</v>
      </c>
      <c r="D136" s="1">
        <v>35</v>
      </c>
      <c r="F136" s="1" t="s">
        <v>156</v>
      </c>
      <c r="G136" s="1" t="s">
        <v>99</v>
      </c>
      <c r="H136" s="1" t="s">
        <v>102</v>
      </c>
      <c r="I136">
        <v>11</v>
      </c>
      <c r="J136">
        <v>6</v>
      </c>
      <c r="K136">
        <v>5</v>
      </c>
      <c r="L136">
        <v>34</v>
      </c>
      <c r="M136">
        <v>2</v>
      </c>
      <c r="Q136">
        <v>20.62</v>
      </c>
      <c r="R136">
        <v>22.99</v>
      </c>
      <c r="S136">
        <v>3</v>
      </c>
      <c r="AB136" t="str">
        <f t="shared" si="6"/>
        <v>No Catch</v>
      </c>
      <c r="AC136">
        <f t="shared" si="7"/>
        <v>0</v>
      </c>
      <c r="AD136">
        <f t="shared" si="8"/>
        <v>2.3699999999999974</v>
      </c>
    </row>
    <row r="137" spans="1:30" x14ac:dyDescent="0.5">
      <c r="B137" s="1">
        <v>14</v>
      </c>
      <c r="C137" t="s">
        <v>3</v>
      </c>
      <c r="D137" s="1">
        <v>45</v>
      </c>
      <c r="F137" s="1" t="s">
        <v>156</v>
      </c>
      <c r="G137" s="1" t="s">
        <v>99</v>
      </c>
      <c r="H137" s="1" t="s">
        <v>100</v>
      </c>
      <c r="I137">
        <v>11</v>
      </c>
      <c r="J137">
        <v>7</v>
      </c>
      <c r="K137">
        <v>5</v>
      </c>
      <c r="L137">
        <v>34</v>
      </c>
      <c r="M137">
        <v>-1</v>
      </c>
      <c r="Q137">
        <v>5.17</v>
      </c>
      <c r="R137">
        <v>5.82</v>
      </c>
      <c r="S137">
        <v>0</v>
      </c>
      <c r="AB137" t="str">
        <f t="shared" si="6"/>
        <v>No Catch</v>
      </c>
      <c r="AC137">
        <f t="shared" si="7"/>
        <v>0</v>
      </c>
      <c r="AD137">
        <f t="shared" si="8"/>
        <v>0.65000000000000036</v>
      </c>
    </row>
    <row r="138" spans="1:30" x14ac:dyDescent="0.5">
      <c r="B138" s="1">
        <v>15</v>
      </c>
      <c r="C138" t="s">
        <v>101</v>
      </c>
      <c r="D138" s="1">
        <v>45</v>
      </c>
      <c r="F138" s="1" t="s">
        <v>156</v>
      </c>
      <c r="G138" s="1" t="s">
        <v>175</v>
      </c>
      <c r="H138" s="1" t="s">
        <v>102</v>
      </c>
      <c r="I138">
        <v>11</v>
      </c>
      <c r="J138">
        <v>8</v>
      </c>
      <c r="K138">
        <v>5</v>
      </c>
      <c r="O138">
        <v>9.17</v>
      </c>
      <c r="P138">
        <v>12.28</v>
      </c>
      <c r="S138">
        <v>0</v>
      </c>
      <c r="U138" t="s">
        <v>163</v>
      </c>
      <c r="V138" t="s">
        <v>28</v>
      </c>
      <c r="W138">
        <f>45-13</f>
        <v>32</v>
      </c>
      <c r="X138">
        <v>4</v>
      </c>
      <c r="Y138" t="s">
        <v>153</v>
      </c>
      <c r="Z138" t="s">
        <v>191</v>
      </c>
      <c r="AA138" t="s">
        <v>220</v>
      </c>
      <c r="AB138" t="str">
        <f t="shared" si="6"/>
        <v>No Catch</v>
      </c>
      <c r="AC138">
        <f t="shared" si="7"/>
        <v>3.1099999999999994</v>
      </c>
      <c r="AD138">
        <f t="shared" si="8"/>
        <v>0</v>
      </c>
    </row>
    <row r="139" spans="1:30" x14ac:dyDescent="0.5">
      <c r="B139" s="1">
        <v>16</v>
      </c>
      <c r="C139" t="s">
        <v>101</v>
      </c>
      <c r="D139" s="1">
        <v>35</v>
      </c>
      <c r="F139" s="1" t="s">
        <v>156</v>
      </c>
      <c r="G139" s="1" t="s">
        <v>175</v>
      </c>
      <c r="H139" s="1" t="s">
        <v>100</v>
      </c>
      <c r="I139">
        <v>11</v>
      </c>
      <c r="J139">
        <v>7</v>
      </c>
      <c r="K139">
        <v>5</v>
      </c>
      <c r="O139">
        <v>5.2</v>
      </c>
      <c r="P139">
        <v>8.32</v>
      </c>
      <c r="S139">
        <v>4</v>
      </c>
      <c r="U139" t="s">
        <v>48</v>
      </c>
      <c r="V139" t="s">
        <v>32</v>
      </c>
      <c r="W139">
        <v>1.5</v>
      </c>
      <c r="X139">
        <v>34</v>
      </c>
      <c r="Y139" t="s">
        <v>153</v>
      </c>
      <c r="Z139" t="s">
        <v>197</v>
      </c>
      <c r="AA139" t="s">
        <v>196</v>
      </c>
      <c r="AB139">
        <f t="shared" si="6"/>
        <v>2.5</v>
      </c>
      <c r="AC139">
        <f t="shared" si="7"/>
        <v>3.12</v>
      </c>
      <c r="AD139">
        <f t="shared" si="8"/>
        <v>0</v>
      </c>
    </row>
    <row r="140" spans="1:30" x14ac:dyDescent="0.5">
      <c r="B140" s="1">
        <v>17</v>
      </c>
      <c r="C140" t="s">
        <v>101</v>
      </c>
      <c r="D140" s="1">
        <v>25</v>
      </c>
      <c r="F140" s="1" t="s">
        <v>156</v>
      </c>
      <c r="G140" s="1" t="s">
        <v>175</v>
      </c>
      <c r="H140" s="1" t="s">
        <v>47</v>
      </c>
      <c r="I140">
        <v>11</v>
      </c>
      <c r="J140">
        <v>6</v>
      </c>
      <c r="K140">
        <v>5</v>
      </c>
      <c r="O140">
        <v>11.45</v>
      </c>
      <c r="P140">
        <v>12.86</v>
      </c>
      <c r="S140">
        <v>3</v>
      </c>
      <c r="U140" t="s">
        <v>48</v>
      </c>
      <c r="V140" t="s">
        <v>32</v>
      </c>
      <c r="W140">
        <v>3</v>
      </c>
      <c r="X140">
        <v>4</v>
      </c>
      <c r="Y140" t="s">
        <v>166</v>
      </c>
      <c r="Z140" t="s">
        <v>191</v>
      </c>
      <c r="AA140" t="s">
        <v>221</v>
      </c>
      <c r="AB140">
        <f t="shared" si="6"/>
        <v>0</v>
      </c>
      <c r="AC140">
        <f t="shared" si="7"/>
        <v>1.4100000000000001</v>
      </c>
      <c r="AD140">
        <f t="shared" si="8"/>
        <v>0</v>
      </c>
    </row>
    <row r="141" spans="1:30" x14ac:dyDescent="0.5">
      <c r="B141" s="1">
        <v>18</v>
      </c>
      <c r="C141" t="s">
        <v>101</v>
      </c>
      <c r="D141" s="1">
        <v>15</v>
      </c>
      <c r="F141" s="1" t="s">
        <v>156</v>
      </c>
      <c r="G141" s="1" t="s">
        <v>175</v>
      </c>
      <c r="H141" s="1" t="s">
        <v>100</v>
      </c>
      <c r="I141">
        <v>11</v>
      </c>
      <c r="J141">
        <v>7</v>
      </c>
      <c r="K141">
        <v>5</v>
      </c>
      <c r="O141">
        <v>4.3099999999999996</v>
      </c>
      <c r="P141">
        <v>7.6</v>
      </c>
      <c r="S141">
        <v>9</v>
      </c>
      <c r="U141" t="s">
        <v>48</v>
      </c>
      <c r="V141" t="s">
        <v>32</v>
      </c>
      <c r="W141">
        <v>9</v>
      </c>
      <c r="X141">
        <v>82</v>
      </c>
      <c r="Y141" t="s">
        <v>166</v>
      </c>
      <c r="Z141" t="s">
        <v>203</v>
      </c>
      <c r="AA141" t="s">
        <v>219</v>
      </c>
      <c r="AB141">
        <f t="shared" si="6"/>
        <v>0</v>
      </c>
      <c r="AC141">
        <f t="shared" si="7"/>
        <v>3.29</v>
      </c>
      <c r="AD141">
        <f t="shared" si="8"/>
        <v>0</v>
      </c>
    </row>
    <row r="142" spans="1:30" x14ac:dyDescent="0.5">
      <c r="A142" t="s">
        <v>223</v>
      </c>
      <c r="B142" s="1">
        <v>1</v>
      </c>
      <c r="C142" t="s">
        <v>3</v>
      </c>
      <c r="D142" s="1">
        <v>30</v>
      </c>
      <c r="F142" s="1" t="s">
        <v>156</v>
      </c>
      <c r="G142" s="1" t="s">
        <v>175</v>
      </c>
      <c r="H142" s="1" t="s">
        <v>100</v>
      </c>
      <c r="I142">
        <v>11</v>
      </c>
      <c r="J142">
        <v>6</v>
      </c>
      <c r="K142">
        <v>5</v>
      </c>
      <c r="O142">
        <v>6.2</v>
      </c>
      <c r="P142">
        <v>9.5399999999999991</v>
      </c>
      <c r="S142">
        <v>4</v>
      </c>
      <c r="U142" t="s">
        <v>48</v>
      </c>
      <c r="V142" t="s">
        <v>32</v>
      </c>
      <c r="W142">
        <v>3</v>
      </c>
      <c r="X142">
        <v>14</v>
      </c>
      <c r="Y142" t="s">
        <v>153</v>
      </c>
      <c r="Z142" t="s">
        <v>189</v>
      </c>
      <c r="AA142" t="s">
        <v>180</v>
      </c>
      <c r="AB142">
        <f t="shared" si="6"/>
        <v>1</v>
      </c>
      <c r="AC142">
        <f t="shared" si="7"/>
        <v>3.339999999999999</v>
      </c>
      <c r="AD142">
        <f t="shared" si="8"/>
        <v>0</v>
      </c>
    </row>
    <row r="143" spans="1:30" x14ac:dyDescent="0.5">
      <c r="B143" s="1">
        <v>2</v>
      </c>
      <c r="C143" t="s">
        <v>3</v>
      </c>
      <c r="D143" s="1">
        <v>30</v>
      </c>
      <c r="F143" s="1" t="s">
        <v>156</v>
      </c>
      <c r="G143" s="1" t="s">
        <v>174</v>
      </c>
      <c r="I143">
        <v>11</v>
      </c>
      <c r="J143">
        <v>7</v>
      </c>
      <c r="K143">
        <v>5</v>
      </c>
      <c r="O143">
        <v>6.64</v>
      </c>
      <c r="P143">
        <v>8.6999999999999993</v>
      </c>
      <c r="S143">
        <v>-10</v>
      </c>
      <c r="AB143" t="str">
        <f t="shared" si="6"/>
        <v>No Catch</v>
      </c>
      <c r="AC143">
        <f t="shared" si="7"/>
        <v>2.0599999999999996</v>
      </c>
      <c r="AD143">
        <f t="shared" si="8"/>
        <v>0</v>
      </c>
    </row>
    <row r="144" spans="1:30" x14ac:dyDescent="0.5">
      <c r="B144" s="1">
        <v>3</v>
      </c>
      <c r="C144" t="s">
        <v>3</v>
      </c>
      <c r="D144" s="1">
        <v>34</v>
      </c>
      <c r="F144" s="1" t="s">
        <v>156</v>
      </c>
      <c r="G144" s="1" t="s">
        <v>175</v>
      </c>
      <c r="H144" s="1" t="s">
        <v>102</v>
      </c>
      <c r="I144">
        <v>11</v>
      </c>
      <c r="J144">
        <v>7</v>
      </c>
      <c r="K144">
        <v>5</v>
      </c>
      <c r="O144">
        <v>5.81</v>
      </c>
      <c r="P144">
        <v>7.12</v>
      </c>
      <c r="S144">
        <v>1</v>
      </c>
      <c r="U144" t="s">
        <v>48</v>
      </c>
      <c r="V144" t="s">
        <v>32</v>
      </c>
      <c r="W144">
        <v>-3</v>
      </c>
      <c r="X144">
        <v>34</v>
      </c>
      <c r="Y144" t="s">
        <v>166</v>
      </c>
      <c r="Z144" t="s">
        <v>222</v>
      </c>
      <c r="AA144" t="s">
        <v>169</v>
      </c>
      <c r="AB144">
        <f t="shared" si="6"/>
        <v>4</v>
      </c>
      <c r="AC144">
        <f t="shared" si="7"/>
        <v>1.3100000000000005</v>
      </c>
      <c r="AD144">
        <f t="shared" si="8"/>
        <v>0</v>
      </c>
    </row>
    <row r="145" spans="1:30" x14ac:dyDescent="0.5">
      <c r="B145" s="1">
        <v>4</v>
      </c>
      <c r="C145" t="s">
        <v>3</v>
      </c>
      <c r="D145" s="1">
        <v>36</v>
      </c>
      <c r="F145" s="1" t="s">
        <v>156</v>
      </c>
      <c r="G145" s="1" t="s">
        <v>182</v>
      </c>
      <c r="I145">
        <v>11</v>
      </c>
      <c r="J145">
        <v>7</v>
      </c>
      <c r="K145">
        <v>5</v>
      </c>
      <c r="S145">
        <v>4</v>
      </c>
      <c r="AB145" t="str">
        <f t="shared" si="6"/>
        <v>No Catch</v>
      </c>
      <c r="AC145">
        <f t="shared" si="7"/>
        <v>0</v>
      </c>
      <c r="AD145">
        <f t="shared" si="8"/>
        <v>0</v>
      </c>
    </row>
    <row r="146" spans="1:30" x14ac:dyDescent="0.5">
      <c r="B146" s="1">
        <v>5</v>
      </c>
      <c r="C146" t="s">
        <v>3</v>
      </c>
      <c r="D146" s="1">
        <v>38</v>
      </c>
      <c r="F146" s="1" t="s">
        <v>156</v>
      </c>
      <c r="G146" s="1" t="s">
        <v>99</v>
      </c>
      <c r="H146" t="s">
        <v>47</v>
      </c>
      <c r="I146">
        <v>21</v>
      </c>
      <c r="J146">
        <v>8</v>
      </c>
      <c r="K146">
        <v>5</v>
      </c>
      <c r="L146">
        <v>34</v>
      </c>
      <c r="M146">
        <v>-3.5</v>
      </c>
      <c r="Q146">
        <v>5.78</v>
      </c>
      <c r="R146">
        <v>6.74</v>
      </c>
      <c r="S146">
        <v>-3.5</v>
      </c>
      <c r="AB146" t="str">
        <f t="shared" si="6"/>
        <v>No Catch</v>
      </c>
      <c r="AC146">
        <f t="shared" si="7"/>
        <v>0</v>
      </c>
      <c r="AD146">
        <f t="shared" si="8"/>
        <v>0.96</v>
      </c>
    </row>
    <row r="147" spans="1:30" x14ac:dyDescent="0.5">
      <c r="A147" t="s">
        <v>224</v>
      </c>
      <c r="B147" s="1">
        <v>1</v>
      </c>
      <c r="C147" t="s">
        <v>3</v>
      </c>
      <c r="D147" s="1">
        <v>30</v>
      </c>
      <c r="F147" s="1" t="s">
        <v>156</v>
      </c>
      <c r="G147" s="1" t="s">
        <v>99</v>
      </c>
      <c r="H147" t="s">
        <v>102</v>
      </c>
      <c r="I147">
        <v>11</v>
      </c>
      <c r="J147">
        <v>6</v>
      </c>
      <c r="K147">
        <v>5</v>
      </c>
      <c r="L147">
        <v>34</v>
      </c>
      <c r="M147">
        <v>1</v>
      </c>
      <c r="Q147">
        <v>7.13</v>
      </c>
      <c r="R147">
        <v>8.99</v>
      </c>
      <c r="S147">
        <v>2</v>
      </c>
      <c r="AB147" t="str">
        <f t="shared" si="6"/>
        <v>No Catch</v>
      </c>
      <c r="AC147">
        <f t="shared" si="7"/>
        <v>0</v>
      </c>
      <c r="AD147">
        <f t="shared" si="8"/>
        <v>1.8600000000000003</v>
      </c>
    </row>
    <row r="148" spans="1:30" x14ac:dyDescent="0.5">
      <c r="B148" s="1">
        <v>2</v>
      </c>
      <c r="C148" t="s">
        <v>3</v>
      </c>
      <c r="D148" s="1">
        <v>30</v>
      </c>
      <c r="F148" s="1" t="s">
        <v>156</v>
      </c>
      <c r="G148" s="1" t="s">
        <v>99</v>
      </c>
      <c r="H148" s="1" t="s">
        <v>47</v>
      </c>
      <c r="I148">
        <v>11</v>
      </c>
      <c r="J148">
        <v>6</v>
      </c>
      <c r="K148">
        <v>5</v>
      </c>
      <c r="L148">
        <v>5</v>
      </c>
      <c r="M148">
        <v>1</v>
      </c>
      <c r="Q148">
        <v>15.93</v>
      </c>
      <c r="R148">
        <v>18.48</v>
      </c>
      <c r="S148">
        <v>2</v>
      </c>
      <c r="AB148" t="str">
        <f t="shared" si="6"/>
        <v>No Catch</v>
      </c>
      <c r="AC148">
        <f t="shared" si="7"/>
        <v>0</v>
      </c>
      <c r="AD148">
        <f t="shared" si="8"/>
        <v>2.5500000000000007</v>
      </c>
    </row>
    <row r="149" spans="1:30" x14ac:dyDescent="0.5">
      <c r="B149" s="1">
        <v>3</v>
      </c>
      <c r="C149" t="s">
        <v>3</v>
      </c>
      <c r="D149" s="1">
        <v>30</v>
      </c>
      <c r="F149" s="1" t="s">
        <v>156</v>
      </c>
      <c r="G149" s="1" t="s">
        <v>99</v>
      </c>
      <c r="H149" s="1" t="s">
        <v>102</v>
      </c>
      <c r="I149">
        <v>11</v>
      </c>
      <c r="J149">
        <v>7</v>
      </c>
      <c r="K149">
        <v>5</v>
      </c>
      <c r="L149">
        <v>34</v>
      </c>
      <c r="M149">
        <v>1.5</v>
      </c>
      <c r="Q149">
        <v>9.48</v>
      </c>
      <c r="R149">
        <v>10.81</v>
      </c>
      <c r="S149">
        <v>6</v>
      </c>
      <c r="AB149" t="str">
        <f t="shared" si="6"/>
        <v>No Catch</v>
      </c>
      <c r="AC149">
        <f t="shared" si="7"/>
        <v>0</v>
      </c>
      <c r="AD149">
        <f t="shared" si="8"/>
        <v>1.33</v>
      </c>
    </row>
    <row r="150" spans="1:30" x14ac:dyDescent="0.5">
      <c r="B150" s="1">
        <v>4</v>
      </c>
      <c r="C150" t="s">
        <v>3</v>
      </c>
      <c r="D150" s="1">
        <v>30</v>
      </c>
      <c r="F150" s="1" t="s">
        <v>156</v>
      </c>
      <c r="G150" s="1" t="s">
        <v>99</v>
      </c>
      <c r="H150" s="1" t="s">
        <v>100</v>
      </c>
      <c r="I150">
        <v>20</v>
      </c>
      <c r="J150">
        <v>7</v>
      </c>
      <c r="K150">
        <v>5</v>
      </c>
      <c r="L150">
        <v>34</v>
      </c>
      <c r="M150">
        <v>3.5</v>
      </c>
      <c r="R150">
        <v>5.87</v>
      </c>
      <c r="S150">
        <v>4</v>
      </c>
      <c r="AB150" t="str">
        <f t="shared" si="6"/>
        <v>No Catch</v>
      </c>
      <c r="AC150">
        <f t="shared" si="7"/>
        <v>0</v>
      </c>
      <c r="AD150">
        <f t="shared" si="8"/>
        <v>5.87</v>
      </c>
    </row>
    <row r="151" spans="1:30" x14ac:dyDescent="0.5">
      <c r="B151" s="1">
        <v>5</v>
      </c>
      <c r="C151" t="s">
        <v>3</v>
      </c>
      <c r="D151" s="1">
        <v>30</v>
      </c>
      <c r="F151" s="1" t="s">
        <v>156</v>
      </c>
      <c r="G151" s="1" t="s">
        <v>174</v>
      </c>
      <c r="I151">
        <v>11</v>
      </c>
      <c r="J151">
        <v>7</v>
      </c>
      <c r="K151">
        <v>5</v>
      </c>
      <c r="O151">
        <v>9.6999999999999993</v>
      </c>
      <c r="P151">
        <v>12.39</v>
      </c>
      <c r="S151">
        <v>-6</v>
      </c>
      <c r="Y151" t="s">
        <v>153</v>
      </c>
      <c r="AB151" t="str">
        <f t="shared" si="6"/>
        <v>No Catch</v>
      </c>
      <c r="AC151">
        <f t="shared" si="7"/>
        <v>2.6900000000000013</v>
      </c>
      <c r="AD151">
        <f t="shared" si="8"/>
        <v>0</v>
      </c>
    </row>
    <row r="152" spans="1:30" x14ac:dyDescent="0.5">
      <c r="B152" s="1">
        <v>6</v>
      </c>
      <c r="C152" t="s">
        <v>3</v>
      </c>
      <c r="D152" s="1">
        <v>30</v>
      </c>
      <c r="F152" s="1" t="s">
        <v>156</v>
      </c>
      <c r="G152" s="1" t="s">
        <v>175</v>
      </c>
      <c r="H152" s="1" t="s">
        <v>47</v>
      </c>
      <c r="I152">
        <v>11</v>
      </c>
      <c r="J152">
        <v>7</v>
      </c>
      <c r="K152">
        <v>5</v>
      </c>
      <c r="O152">
        <v>17.3</v>
      </c>
      <c r="P152">
        <v>19.670000000000002</v>
      </c>
      <c r="S152">
        <v>20</v>
      </c>
      <c r="U152" t="s">
        <v>48</v>
      </c>
      <c r="V152" t="s">
        <v>32</v>
      </c>
      <c r="W152">
        <v>17</v>
      </c>
      <c r="X152">
        <v>84</v>
      </c>
      <c r="Y152" t="s">
        <v>153</v>
      </c>
      <c r="Z152" t="s">
        <v>203</v>
      </c>
      <c r="AA152" t="s">
        <v>172</v>
      </c>
      <c r="AB152">
        <f t="shared" si="6"/>
        <v>3</v>
      </c>
      <c r="AC152">
        <f t="shared" si="7"/>
        <v>2.370000000000001</v>
      </c>
      <c r="AD152">
        <f t="shared" si="8"/>
        <v>0</v>
      </c>
    </row>
    <row r="153" spans="1:30" x14ac:dyDescent="0.5">
      <c r="A153" t="s">
        <v>104</v>
      </c>
      <c r="B153" s="1">
        <v>13</v>
      </c>
      <c r="C153" t="s">
        <v>3</v>
      </c>
      <c r="D153" s="1">
        <v>30</v>
      </c>
      <c r="F153" s="1" t="s">
        <v>156</v>
      </c>
      <c r="G153" s="1" t="s">
        <v>99</v>
      </c>
      <c r="H153" s="1" t="s">
        <v>100</v>
      </c>
      <c r="I153">
        <v>12</v>
      </c>
      <c r="J153">
        <v>7</v>
      </c>
      <c r="K153">
        <v>5</v>
      </c>
      <c r="L153">
        <v>34</v>
      </c>
      <c r="M153">
        <v>1.5</v>
      </c>
      <c r="Q153">
        <v>9.6300000000000008</v>
      </c>
      <c r="R153">
        <v>10.81</v>
      </c>
      <c r="S153">
        <v>2</v>
      </c>
      <c r="AB153" t="str">
        <f t="shared" si="6"/>
        <v>No Catch</v>
      </c>
      <c r="AC153">
        <f t="shared" si="7"/>
        <v>0</v>
      </c>
      <c r="AD153">
        <f t="shared" si="8"/>
        <v>1.1799999999999997</v>
      </c>
    </row>
    <row r="154" spans="1:30" x14ac:dyDescent="0.5">
      <c r="B154" s="1">
        <v>14</v>
      </c>
      <c r="C154" t="s">
        <v>3</v>
      </c>
      <c r="D154" s="1">
        <v>30</v>
      </c>
      <c r="F154" s="1" t="s">
        <v>156</v>
      </c>
      <c r="G154" s="1" t="s">
        <v>99</v>
      </c>
      <c r="H154" s="1" t="s">
        <v>100</v>
      </c>
      <c r="I154">
        <v>12</v>
      </c>
      <c r="J154">
        <v>7</v>
      </c>
      <c r="K154">
        <v>5</v>
      </c>
      <c r="L154">
        <v>34</v>
      </c>
      <c r="M154">
        <v>4</v>
      </c>
      <c r="Q154">
        <v>9.33</v>
      </c>
      <c r="R154">
        <v>10.98</v>
      </c>
      <c r="S154">
        <v>5</v>
      </c>
      <c r="AB154" t="str">
        <f t="shared" si="6"/>
        <v>No Catch</v>
      </c>
      <c r="AC154">
        <f t="shared" si="7"/>
        <v>0</v>
      </c>
      <c r="AD154">
        <f t="shared" si="8"/>
        <v>1.6500000000000004</v>
      </c>
    </row>
    <row r="155" spans="1:30" x14ac:dyDescent="0.5">
      <c r="B155" s="1">
        <v>15</v>
      </c>
      <c r="C155" t="s">
        <v>3</v>
      </c>
      <c r="D155" s="1">
        <v>30</v>
      </c>
      <c r="F155" s="1" t="s">
        <v>156</v>
      </c>
      <c r="G155" s="1" t="s">
        <v>99</v>
      </c>
      <c r="H155" s="1" t="s">
        <v>100</v>
      </c>
      <c r="I155">
        <v>11</v>
      </c>
      <c r="J155">
        <v>6</v>
      </c>
      <c r="K155">
        <v>5</v>
      </c>
      <c r="L155">
        <v>34</v>
      </c>
      <c r="M155">
        <v>-2</v>
      </c>
      <c r="Q155">
        <v>16.149999999999999</v>
      </c>
      <c r="R155">
        <v>16.829999999999998</v>
      </c>
      <c r="S155">
        <v>-2</v>
      </c>
      <c r="AB155" t="str">
        <f t="shared" si="6"/>
        <v>No Catch</v>
      </c>
      <c r="AC155">
        <f t="shared" si="7"/>
        <v>0</v>
      </c>
      <c r="AD155">
        <f t="shared" si="8"/>
        <v>0.67999999999999972</v>
      </c>
    </row>
    <row r="156" spans="1:30" x14ac:dyDescent="0.5">
      <c r="B156" s="1">
        <v>16</v>
      </c>
      <c r="C156" t="s">
        <v>3</v>
      </c>
      <c r="D156" s="1">
        <v>30</v>
      </c>
      <c r="F156" s="1" t="s">
        <v>156</v>
      </c>
      <c r="G156" s="1" t="s">
        <v>174</v>
      </c>
      <c r="I156">
        <v>11</v>
      </c>
      <c r="J156">
        <v>7</v>
      </c>
      <c r="K156">
        <v>5</v>
      </c>
      <c r="O156">
        <v>8.44</v>
      </c>
      <c r="P156">
        <v>10.29</v>
      </c>
      <c r="S156">
        <v>-8</v>
      </c>
      <c r="Y156" t="s">
        <v>153</v>
      </c>
      <c r="AB156" t="str">
        <f t="shared" si="6"/>
        <v>No Catch</v>
      </c>
      <c r="AC156">
        <f t="shared" si="7"/>
        <v>1.8499999999999996</v>
      </c>
      <c r="AD156">
        <f t="shared" si="8"/>
        <v>0</v>
      </c>
    </row>
    <row r="157" spans="1:30" x14ac:dyDescent="0.5">
      <c r="B157" s="1">
        <v>17</v>
      </c>
      <c r="C157" t="s">
        <v>3</v>
      </c>
      <c r="D157" s="1">
        <v>30</v>
      </c>
      <c r="F157" s="1" t="s">
        <v>156</v>
      </c>
      <c r="G157" s="1" t="s">
        <v>99</v>
      </c>
      <c r="H157" s="1" t="s">
        <v>102</v>
      </c>
      <c r="I157">
        <v>11</v>
      </c>
      <c r="J157">
        <v>7</v>
      </c>
      <c r="K157">
        <v>5</v>
      </c>
      <c r="L157">
        <v>34</v>
      </c>
      <c r="M157">
        <v>-1</v>
      </c>
      <c r="Q157">
        <v>7.39</v>
      </c>
      <c r="R157">
        <v>9.14</v>
      </c>
      <c r="S157">
        <v>0</v>
      </c>
      <c r="AB157" t="str">
        <f t="shared" si="6"/>
        <v>No Catch</v>
      </c>
      <c r="AC157">
        <f t="shared" si="7"/>
        <v>0</v>
      </c>
      <c r="AD157">
        <f t="shared" si="8"/>
        <v>1.7500000000000009</v>
      </c>
    </row>
    <row r="158" spans="1:30" x14ac:dyDescent="0.5">
      <c r="B158" s="1">
        <v>18</v>
      </c>
      <c r="C158" t="s">
        <v>3</v>
      </c>
      <c r="D158" s="1">
        <v>30</v>
      </c>
      <c r="F158" s="1" t="s">
        <v>156</v>
      </c>
      <c r="G158" s="1" t="s">
        <v>99</v>
      </c>
      <c r="H158" s="1" t="s">
        <v>102</v>
      </c>
      <c r="I158">
        <v>11</v>
      </c>
      <c r="J158">
        <v>6</v>
      </c>
      <c r="K158">
        <v>5</v>
      </c>
      <c r="L158">
        <v>34</v>
      </c>
      <c r="M158">
        <v>0.5</v>
      </c>
      <c r="Q158">
        <v>6.22</v>
      </c>
      <c r="R158">
        <v>7.6</v>
      </c>
      <c r="S158">
        <v>3</v>
      </c>
      <c r="AB158" t="str">
        <f t="shared" si="6"/>
        <v>No Catch</v>
      </c>
      <c r="AC158">
        <f t="shared" si="7"/>
        <v>0</v>
      </c>
      <c r="AD158">
        <f t="shared" si="8"/>
        <v>1.38</v>
      </c>
    </row>
    <row r="159" spans="1:30" x14ac:dyDescent="0.5">
      <c r="A159" t="s">
        <v>225</v>
      </c>
      <c r="B159" s="1">
        <v>1</v>
      </c>
      <c r="C159" t="s">
        <v>3</v>
      </c>
      <c r="D159" s="1">
        <v>30</v>
      </c>
      <c r="F159" s="1" t="s">
        <v>156</v>
      </c>
      <c r="G159" s="1" t="s">
        <v>99</v>
      </c>
      <c r="H159" s="1" t="s">
        <v>100</v>
      </c>
      <c r="I159">
        <v>12</v>
      </c>
      <c r="J159">
        <v>7</v>
      </c>
      <c r="K159">
        <v>5</v>
      </c>
      <c r="L159">
        <v>34</v>
      </c>
      <c r="M159">
        <v>1</v>
      </c>
      <c r="Q159">
        <v>7.49</v>
      </c>
      <c r="R159">
        <v>8.64</v>
      </c>
      <c r="S159">
        <v>2</v>
      </c>
      <c r="AB159" t="str">
        <f t="shared" si="6"/>
        <v>No Catch</v>
      </c>
      <c r="AC159">
        <f t="shared" si="7"/>
        <v>0</v>
      </c>
      <c r="AD159">
        <f t="shared" si="8"/>
        <v>1.1500000000000004</v>
      </c>
    </row>
    <row r="160" spans="1:30" x14ac:dyDescent="0.5">
      <c r="A160" t="s">
        <v>226</v>
      </c>
      <c r="B160" s="1">
        <v>2</v>
      </c>
      <c r="C160" t="s">
        <v>3</v>
      </c>
      <c r="D160" s="1">
        <v>30</v>
      </c>
      <c r="F160" s="1" t="s">
        <v>156</v>
      </c>
      <c r="G160" s="1" t="s">
        <v>175</v>
      </c>
      <c r="H160" s="1" t="s">
        <v>102</v>
      </c>
      <c r="I160">
        <v>11</v>
      </c>
      <c r="J160">
        <v>5</v>
      </c>
      <c r="K160">
        <v>5</v>
      </c>
      <c r="O160">
        <v>6.93</v>
      </c>
      <c r="P160">
        <v>9.51</v>
      </c>
      <c r="S160">
        <v>20</v>
      </c>
      <c r="U160" t="s">
        <v>48</v>
      </c>
      <c r="V160" t="s">
        <v>32</v>
      </c>
      <c r="W160">
        <v>16</v>
      </c>
      <c r="X160">
        <v>14</v>
      </c>
      <c r="Y160" t="s">
        <v>166</v>
      </c>
      <c r="Z160" t="s">
        <v>216</v>
      </c>
      <c r="AA160" t="s">
        <v>172</v>
      </c>
      <c r="AB160">
        <f t="shared" si="6"/>
        <v>4</v>
      </c>
      <c r="AC160">
        <f t="shared" si="7"/>
        <v>2.58</v>
      </c>
      <c r="AD160">
        <f t="shared" si="8"/>
        <v>0</v>
      </c>
    </row>
    <row r="161" spans="1:30" x14ac:dyDescent="0.5">
      <c r="B161" s="1">
        <v>3</v>
      </c>
      <c r="C161" t="s">
        <v>3</v>
      </c>
      <c r="D161" s="1">
        <v>40</v>
      </c>
      <c r="F161" s="1" t="s">
        <v>156</v>
      </c>
      <c r="G161" s="1" t="s">
        <v>175</v>
      </c>
      <c r="H161" s="1" t="s">
        <v>100</v>
      </c>
      <c r="I161">
        <v>11</v>
      </c>
      <c r="J161">
        <v>6</v>
      </c>
      <c r="K161">
        <v>5</v>
      </c>
      <c r="O161">
        <v>14.68</v>
      </c>
      <c r="P161">
        <v>17.190000000000001</v>
      </c>
      <c r="S161">
        <v>0</v>
      </c>
      <c r="U161" t="s">
        <v>33</v>
      </c>
      <c r="V161" t="s">
        <v>32</v>
      </c>
      <c r="W161">
        <v>-4</v>
      </c>
      <c r="X161">
        <v>34</v>
      </c>
      <c r="Y161" t="s">
        <v>166</v>
      </c>
      <c r="Z161" t="s">
        <v>195</v>
      </c>
      <c r="AA161" t="s">
        <v>184</v>
      </c>
      <c r="AB161" t="str">
        <f t="shared" si="6"/>
        <v>No Catch</v>
      </c>
      <c r="AC161">
        <f t="shared" si="7"/>
        <v>2.5100000000000016</v>
      </c>
      <c r="AD161">
        <f t="shared" si="8"/>
        <v>0</v>
      </c>
    </row>
    <row r="162" spans="1:30" x14ac:dyDescent="0.5">
      <c r="B162" s="1">
        <v>4</v>
      </c>
      <c r="C162" t="s">
        <v>228</v>
      </c>
      <c r="D162" s="1">
        <v>50</v>
      </c>
      <c r="F162" s="1" t="s">
        <v>156</v>
      </c>
      <c r="G162" s="1" t="s">
        <v>174</v>
      </c>
      <c r="I162">
        <v>11</v>
      </c>
      <c r="J162">
        <v>8</v>
      </c>
      <c r="K162">
        <v>5</v>
      </c>
      <c r="O162">
        <v>5.48</v>
      </c>
      <c r="P162">
        <v>7.84</v>
      </c>
      <c r="S162">
        <v>-7</v>
      </c>
      <c r="AB162" t="str">
        <f t="shared" si="6"/>
        <v>No Catch</v>
      </c>
      <c r="AC162">
        <f t="shared" si="7"/>
        <v>2.3599999999999994</v>
      </c>
      <c r="AD162">
        <f t="shared" si="8"/>
        <v>0</v>
      </c>
    </row>
    <row r="163" spans="1:30" x14ac:dyDescent="0.5">
      <c r="B163" s="1">
        <v>5</v>
      </c>
      <c r="C163" t="s">
        <v>101</v>
      </c>
      <c r="D163" s="1">
        <v>40</v>
      </c>
      <c r="F163" s="1" t="s">
        <v>156</v>
      </c>
      <c r="G163" s="1" t="s">
        <v>99</v>
      </c>
      <c r="H163" s="1" t="s">
        <v>100</v>
      </c>
      <c r="I163">
        <v>11</v>
      </c>
      <c r="J163">
        <v>8</v>
      </c>
      <c r="K163">
        <v>5</v>
      </c>
      <c r="L163">
        <v>34</v>
      </c>
      <c r="M163">
        <v>-4</v>
      </c>
      <c r="Q163">
        <v>12.91</v>
      </c>
      <c r="R163">
        <v>13.11</v>
      </c>
      <c r="S163">
        <v>-4</v>
      </c>
      <c r="AB163" t="str">
        <f t="shared" si="6"/>
        <v>No Catch</v>
      </c>
      <c r="AC163">
        <f t="shared" si="7"/>
        <v>0</v>
      </c>
      <c r="AD163">
        <f t="shared" si="8"/>
        <v>0.19999999999999929</v>
      </c>
    </row>
    <row r="164" spans="1:30" x14ac:dyDescent="0.5">
      <c r="B164" s="1">
        <v>6</v>
      </c>
      <c r="C164" t="s">
        <v>101</v>
      </c>
      <c r="D164" s="1">
        <v>30</v>
      </c>
      <c r="F164" s="1" t="s">
        <v>156</v>
      </c>
      <c r="G164" s="1" t="s">
        <v>175</v>
      </c>
      <c r="H164" s="1" t="s">
        <v>102</v>
      </c>
      <c r="I164">
        <v>11</v>
      </c>
      <c r="J164">
        <v>7</v>
      </c>
      <c r="K164">
        <v>5</v>
      </c>
      <c r="O164">
        <v>5.01</v>
      </c>
      <c r="P164">
        <v>6.35</v>
      </c>
      <c r="S164">
        <v>0</v>
      </c>
      <c r="U164" t="s">
        <v>163</v>
      </c>
      <c r="V164" t="s">
        <v>28</v>
      </c>
      <c r="W164">
        <v>8</v>
      </c>
      <c r="X164">
        <v>14</v>
      </c>
      <c r="Y164" t="s">
        <v>166</v>
      </c>
      <c r="Z164" t="s">
        <v>216</v>
      </c>
      <c r="AA164" t="s">
        <v>227</v>
      </c>
      <c r="AB164" t="str">
        <f t="shared" si="6"/>
        <v>No Catch</v>
      </c>
      <c r="AC164">
        <f t="shared" si="7"/>
        <v>1.3399999999999999</v>
      </c>
      <c r="AD164">
        <f t="shared" si="8"/>
        <v>0</v>
      </c>
    </row>
    <row r="165" spans="1:30" x14ac:dyDescent="0.5">
      <c r="B165" s="1">
        <v>13</v>
      </c>
      <c r="C165" t="s">
        <v>3</v>
      </c>
      <c r="D165" s="1">
        <v>20</v>
      </c>
      <c r="F165" s="1" t="s">
        <v>156</v>
      </c>
      <c r="G165" s="1" t="s">
        <v>174</v>
      </c>
      <c r="I165">
        <v>11</v>
      </c>
      <c r="J165">
        <v>8</v>
      </c>
      <c r="K165">
        <v>5</v>
      </c>
      <c r="O165">
        <v>6.64</v>
      </c>
      <c r="P165">
        <v>8.2799999999999994</v>
      </c>
      <c r="S165">
        <v>-7</v>
      </c>
      <c r="Y165" t="s">
        <v>153</v>
      </c>
      <c r="AB165" t="str">
        <f t="shared" si="6"/>
        <v>No Catch</v>
      </c>
      <c r="AC165">
        <f t="shared" si="7"/>
        <v>1.6399999999999997</v>
      </c>
      <c r="AD165">
        <f t="shared" si="8"/>
        <v>0</v>
      </c>
    </row>
    <row r="166" spans="1:30" x14ac:dyDescent="0.5">
      <c r="B166" s="1">
        <v>14</v>
      </c>
      <c r="C166" t="s">
        <v>3</v>
      </c>
      <c r="D166" s="1">
        <v>30</v>
      </c>
      <c r="F166" s="1" t="s">
        <v>156</v>
      </c>
      <c r="G166" s="1" t="s">
        <v>99</v>
      </c>
      <c r="H166" s="1" t="s">
        <v>100</v>
      </c>
      <c r="I166">
        <v>11</v>
      </c>
      <c r="J166">
        <v>6</v>
      </c>
      <c r="K166">
        <v>5</v>
      </c>
      <c r="L166">
        <v>34</v>
      </c>
      <c r="M166">
        <v>5</v>
      </c>
      <c r="Q166">
        <v>10.92</v>
      </c>
      <c r="R166">
        <v>13.27</v>
      </c>
      <c r="S166">
        <v>7</v>
      </c>
      <c r="AB166" t="str">
        <f t="shared" si="6"/>
        <v>No Catch</v>
      </c>
      <c r="AC166">
        <f t="shared" si="7"/>
        <v>0</v>
      </c>
      <c r="AD166">
        <f t="shared" si="8"/>
        <v>2.3499999999999996</v>
      </c>
    </row>
    <row r="167" spans="1:30" x14ac:dyDescent="0.5">
      <c r="B167" s="1">
        <v>15</v>
      </c>
      <c r="C167" t="s">
        <v>3</v>
      </c>
      <c r="D167" s="1">
        <v>40</v>
      </c>
      <c r="F167" s="1" t="s">
        <v>156</v>
      </c>
      <c r="G167" s="1" t="s">
        <v>175</v>
      </c>
      <c r="H167" s="1" t="s">
        <v>47</v>
      </c>
      <c r="I167">
        <v>11</v>
      </c>
      <c r="J167">
        <v>6</v>
      </c>
      <c r="K167">
        <v>5</v>
      </c>
      <c r="O167">
        <v>8.24</v>
      </c>
      <c r="P167">
        <v>10.26</v>
      </c>
      <c r="S167">
        <v>0</v>
      </c>
      <c r="U167" t="s">
        <v>163</v>
      </c>
      <c r="V167" t="s">
        <v>28</v>
      </c>
      <c r="W167">
        <v>5</v>
      </c>
      <c r="X167">
        <v>82</v>
      </c>
      <c r="Y167" t="s">
        <v>166</v>
      </c>
      <c r="Z167" t="s">
        <v>229</v>
      </c>
      <c r="AA167" t="s">
        <v>221</v>
      </c>
      <c r="AB167" t="str">
        <f t="shared" si="6"/>
        <v>No Catch</v>
      </c>
      <c r="AC167">
        <f t="shared" si="7"/>
        <v>2.0199999999999996</v>
      </c>
      <c r="AD167">
        <f t="shared" si="8"/>
        <v>0</v>
      </c>
    </row>
    <row r="168" spans="1:30" x14ac:dyDescent="0.5">
      <c r="B168" s="1">
        <v>16</v>
      </c>
      <c r="C168" t="s">
        <v>228</v>
      </c>
      <c r="D168" s="1">
        <v>50</v>
      </c>
      <c r="F168" s="1" t="s">
        <v>156</v>
      </c>
      <c r="G168" s="1" t="s">
        <v>175</v>
      </c>
      <c r="H168" s="1" t="s">
        <v>100</v>
      </c>
      <c r="I168">
        <v>11</v>
      </c>
      <c r="J168">
        <v>7</v>
      </c>
      <c r="K168">
        <v>5</v>
      </c>
      <c r="O168">
        <v>5.96</v>
      </c>
      <c r="P168">
        <v>8.73</v>
      </c>
      <c r="S168">
        <v>12</v>
      </c>
      <c r="U168" t="s">
        <v>48</v>
      </c>
      <c r="V168" t="s">
        <v>32</v>
      </c>
      <c r="W168">
        <v>5</v>
      </c>
      <c r="X168">
        <v>6</v>
      </c>
      <c r="Y168" t="s">
        <v>166</v>
      </c>
      <c r="Z168" t="s">
        <v>189</v>
      </c>
      <c r="AA168" t="s">
        <v>180</v>
      </c>
      <c r="AB168">
        <f t="shared" si="6"/>
        <v>7</v>
      </c>
      <c r="AC168">
        <f t="shared" si="7"/>
        <v>2.7700000000000005</v>
      </c>
      <c r="AD168">
        <f t="shared" si="8"/>
        <v>0</v>
      </c>
    </row>
    <row r="169" spans="1:30" x14ac:dyDescent="0.5">
      <c r="A169" t="s">
        <v>230</v>
      </c>
      <c r="B169" s="1">
        <v>1</v>
      </c>
      <c r="C169" t="s">
        <v>3</v>
      </c>
      <c r="D169" s="1">
        <v>30</v>
      </c>
      <c r="F169" s="1" t="s">
        <v>156</v>
      </c>
      <c r="G169" s="1" t="s">
        <v>175</v>
      </c>
      <c r="H169" s="1" t="s">
        <v>100</v>
      </c>
      <c r="I169">
        <v>11</v>
      </c>
      <c r="J169">
        <v>6</v>
      </c>
      <c r="K169">
        <v>5</v>
      </c>
      <c r="O169">
        <v>4.67</v>
      </c>
      <c r="P169">
        <v>6.05</v>
      </c>
      <c r="S169">
        <v>0</v>
      </c>
      <c r="U169" t="s">
        <v>33</v>
      </c>
      <c r="V169" t="s">
        <v>32</v>
      </c>
      <c r="W169">
        <v>5</v>
      </c>
      <c r="X169">
        <v>82</v>
      </c>
      <c r="Y169" t="s">
        <v>166</v>
      </c>
      <c r="Z169" t="s">
        <v>231</v>
      </c>
      <c r="AA169" t="s">
        <v>221</v>
      </c>
      <c r="AB169" t="str">
        <f t="shared" si="6"/>
        <v>No Catch</v>
      </c>
      <c r="AC169">
        <f t="shared" si="7"/>
        <v>1.38</v>
      </c>
      <c r="AD169">
        <f t="shared" si="8"/>
        <v>0</v>
      </c>
    </row>
    <row r="170" spans="1:30" x14ac:dyDescent="0.5">
      <c r="B170" s="1">
        <v>2</v>
      </c>
      <c r="C170" t="s">
        <v>3</v>
      </c>
      <c r="D170" s="1">
        <v>30</v>
      </c>
      <c r="F170" s="1" t="s">
        <v>156</v>
      </c>
      <c r="G170" s="1" t="s">
        <v>175</v>
      </c>
      <c r="H170" s="1" t="s">
        <v>102</v>
      </c>
      <c r="I170">
        <v>11</v>
      </c>
      <c r="J170">
        <v>6</v>
      </c>
      <c r="K170">
        <v>5</v>
      </c>
      <c r="O170">
        <v>3.55</v>
      </c>
      <c r="P170">
        <v>7</v>
      </c>
      <c r="S170">
        <v>6</v>
      </c>
      <c r="U170" t="s">
        <v>48</v>
      </c>
      <c r="V170" t="s">
        <v>32</v>
      </c>
      <c r="W170">
        <v>2</v>
      </c>
      <c r="X170">
        <v>34</v>
      </c>
      <c r="Y170" t="s">
        <v>166</v>
      </c>
      <c r="Z170" t="s">
        <v>195</v>
      </c>
      <c r="AA170" t="s">
        <v>196</v>
      </c>
      <c r="AB170">
        <f t="shared" si="6"/>
        <v>4</v>
      </c>
      <c r="AC170">
        <f t="shared" si="7"/>
        <v>3.45</v>
      </c>
      <c r="AD170">
        <f t="shared" si="8"/>
        <v>0</v>
      </c>
    </row>
    <row r="171" spans="1:30" x14ac:dyDescent="0.5">
      <c r="B171" s="1">
        <v>4</v>
      </c>
      <c r="C171" t="s">
        <v>3</v>
      </c>
      <c r="D171" s="1">
        <v>30</v>
      </c>
      <c r="F171" s="1" t="s">
        <v>156</v>
      </c>
      <c r="G171" s="1" t="s">
        <v>175</v>
      </c>
      <c r="H171" s="1" t="s">
        <v>47</v>
      </c>
      <c r="I171">
        <v>11</v>
      </c>
      <c r="J171">
        <v>7</v>
      </c>
      <c r="K171">
        <v>5</v>
      </c>
      <c r="O171">
        <v>10.65</v>
      </c>
      <c r="P171">
        <v>11.96</v>
      </c>
      <c r="S171">
        <v>5</v>
      </c>
      <c r="U171" t="s">
        <v>48</v>
      </c>
      <c r="V171" t="s">
        <v>32</v>
      </c>
      <c r="W171">
        <v>-2</v>
      </c>
      <c r="X171">
        <v>34</v>
      </c>
      <c r="Y171" t="s">
        <v>166</v>
      </c>
      <c r="Z171" t="s">
        <v>197</v>
      </c>
      <c r="AA171" t="s">
        <v>169</v>
      </c>
      <c r="AB171">
        <f t="shared" si="6"/>
        <v>7</v>
      </c>
      <c r="AC171">
        <f t="shared" si="7"/>
        <v>1.3100000000000005</v>
      </c>
      <c r="AD171">
        <f t="shared" si="8"/>
        <v>0</v>
      </c>
    </row>
    <row r="172" spans="1:30" x14ac:dyDescent="0.5">
      <c r="B172" s="1">
        <v>5</v>
      </c>
      <c r="C172" t="s">
        <v>3</v>
      </c>
      <c r="D172" s="1">
        <v>35</v>
      </c>
      <c r="F172" s="1" t="s">
        <v>156</v>
      </c>
      <c r="G172" s="1" t="s">
        <v>175</v>
      </c>
      <c r="H172" s="1" t="s">
        <v>100</v>
      </c>
      <c r="I172">
        <v>11</v>
      </c>
      <c r="J172">
        <v>6</v>
      </c>
      <c r="K172">
        <v>5</v>
      </c>
      <c r="O172">
        <v>0.88</v>
      </c>
      <c r="P172">
        <v>2.98</v>
      </c>
      <c r="S172">
        <v>8</v>
      </c>
      <c r="U172" t="s">
        <v>48</v>
      </c>
      <c r="V172" t="s">
        <v>32</v>
      </c>
      <c r="W172">
        <v>5</v>
      </c>
      <c r="X172">
        <v>34</v>
      </c>
      <c r="Y172" t="s">
        <v>166</v>
      </c>
      <c r="Z172" t="s">
        <v>197</v>
      </c>
      <c r="AA172" t="s">
        <v>232</v>
      </c>
      <c r="AB172">
        <f t="shared" si="6"/>
        <v>3</v>
      </c>
      <c r="AC172">
        <f t="shared" si="7"/>
        <v>2.1</v>
      </c>
      <c r="AD172">
        <f t="shared" si="8"/>
        <v>0</v>
      </c>
    </row>
    <row r="173" spans="1:30" x14ac:dyDescent="0.5">
      <c r="B173" s="1">
        <v>7</v>
      </c>
      <c r="C173" t="s">
        <v>3</v>
      </c>
      <c r="D173" s="1">
        <v>45</v>
      </c>
      <c r="F173" s="1" t="s">
        <v>156</v>
      </c>
      <c r="G173" s="1" t="s">
        <v>182</v>
      </c>
      <c r="I173">
        <v>11</v>
      </c>
      <c r="J173">
        <v>6</v>
      </c>
      <c r="K173">
        <v>5</v>
      </c>
      <c r="S173">
        <v>7</v>
      </c>
      <c r="AB173" t="str">
        <f t="shared" si="6"/>
        <v>No Catch</v>
      </c>
      <c r="AC173">
        <f t="shared" si="7"/>
        <v>0</v>
      </c>
      <c r="AD173">
        <f t="shared" si="8"/>
        <v>0</v>
      </c>
    </row>
    <row r="174" spans="1:30" x14ac:dyDescent="0.5">
      <c r="B174" s="1">
        <v>9</v>
      </c>
      <c r="C174" t="s">
        <v>101</v>
      </c>
      <c r="D174" s="1">
        <v>45</v>
      </c>
      <c r="F174" s="1" t="s">
        <v>156</v>
      </c>
      <c r="G174" s="1" t="s">
        <v>175</v>
      </c>
      <c r="H174" s="1" t="s">
        <v>47</v>
      </c>
      <c r="I174">
        <v>11</v>
      </c>
      <c r="J174">
        <v>7</v>
      </c>
      <c r="K174">
        <v>5</v>
      </c>
      <c r="O174">
        <v>6.03</v>
      </c>
      <c r="P174">
        <v>8.27</v>
      </c>
      <c r="S174">
        <v>0</v>
      </c>
      <c r="U174" t="s">
        <v>163</v>
      </c>
      <c r="V174" t="s">
        <v>32</v>
      </c>
      <c r="W174">
        <v>40</v>
      </c>
      <c r="X174">
        <v>14</v>
      </c>
      <c r="Y174" t="s">
        <v>166</v>
      </c>
      <c r="Z174" t="s">
        <v>189</v>
      </c>
      <c r="AA174" t="s">
        <v>179</v>
      </c>
      <c r="AB174" t="str">
        <f t="shared" si="6"/>
        <v>No Catch</v>
      </c>
      <c r="AC174">
        <f t="shared" si="7"/>
        <v>2.2399999999999993</v>
      </c>
      <c r="AD174">
        <f t="shared" si="8"/>
        <v>0</v>
      </c>
    </row>
    <row r="175" spans="1:30" x14ac:dyDescent="0.5">
      <c r="B175" s="1">
        <v>10</v>
      </c>
      <c r="C175" t="s">
        <v>101</v>
      </c>
      <c r="D175" s="1">
        <v>45</v>
      </c>
      <c r="F175" s="1" t="s">
        <v>156</v>
      </c>
      <c r="G175" s="1" t="s">
        <v>175</v>
      </c>
      <c r="H175" s="1" t="s">
        <v>100</v>
      </c>
      <c r="I175">
        <v>11</v>
      </c>
      <c r="J175">
        <v>7</v>
      </c>
      <c r="K175">
        <v>5</v>
      </c>
      <c r="O175">
        <v>6.86</v>
      </c>
      <c r="P175">
        <v>9.1</v>
      </c>
      <c r="S175">
        <v>20</v>
      </c>
      <c r="U175" t="s">
        <v>48</v>
      </c>
      <c r="V175" t="s">
        <v>32</v>
      </c>
      <c r="W175">
        <v>10</v>
      </c>
      <c r="X175">
        <v>4</v>
      </c>
      <c r="Y175" t="s">
        <v>166</v>
      </c>
      <c r="Z175" t="s">
        <v>151</v>
      </c>
      <c r="AA175" t="s">
        <v>219</v>
      </c>
      <c r="AB175">
        <f t="shared" si="6"/>
        <v>10</v>
      </c>
      <c r="AC175">
        <f t="shared" si="7"/>
        <v>2.2399999999999993</v>
      </c>
      <c r="AD175">
        <f t="shared" si="8"/>
        <v>0</v>
      </c>
    </row>
    <row r="176" spans="1:30" x14ac:dyDescent="0.5">
      <c r="B176" s="1">
        <v>12</v>
      </c>
      <c r="C176" t="s">
        <v>101</v>
      </c>
      <c r="D176" s="1">
        <v>20</v>
      </c>
      <c r="F176" s="1" t="s">
        <v>156</v>
      </c>
      <c r="G176" s="1" t="s">
        <v>175</v>
      </c>
      <c r="H176" s="1" t="s">
        <v>47</v>
      </c>
      <c r="I176">
        <v>11</v>
      </c>
      <c r="J176">
        <v>3</v>
      </c>
      <c r="K176">
        <v>5</v>
      </c>
      <c r="O176">
        <v>12.76</v>
      </c>
      <c r="P176">
        <v>18.25</v>
      </c>
      <c r="S176">
        <v>20</v>
      </c>
      <c r="T176" t="s">
        <v>22</v>
      </c>
      <c r="U176" t="s">
        <v>48</v>
      </c>
      <c r="V176" t="s">
        <v>32</v>
      </c>
      <c r="W176">
        <v>20</v>
      </c>
      <c r="X176">
        <v>14</v>
      </c>
      <c r="Y176" t="s">
        <v>166</v>
      </c>
      <c r="Z176" t="s">
        <v>189</v>
      </c>
      <c r="AA176" t="s">
        <v>149</v>
      </c>
      <c r="AB176">
        <f t="shared" si="6"/>
        <v>0</v>
      </c>
      <c r="AC176">
        <f t="shared" si="7"/>
        <v>5.49</v>
      </c>
      <c r="AD176">
        <f t="shared" si="8"/>
        <v>0</v>
      </c>
    </row>
    <row r="177" spans="1:30" x14ac:dyDescent="0.5">
      <c r="A177" t="s">
        <v>290</v>
      </c>
      <c r="B177" s="1">
        <v>1</v>
      </c>
      <c r="C177" t="s">
        <v>3</v>
      </c>
      <c r="D177" s="1">
        <v>30</v>
      </c>
      <c r="F177" s="1" t="s">
        <v>156</v>
      </c>
      <c r="G177" s="1" t="s">
        <v>99</v>
      </c>
      <c r="H177" s="1" t="s">
        <v>47</v>
      </c>
      <c r="I177">
        <v>12</v>
      </c>
      <c r="J177">
        <v>7</v>
      </c>
      <c r="K177">
        <v>5</v>
      </c>
      <c r="L177">
        <v>34</v>
      </c>
      <c r="M177">
        <v>-3</v>
      </c>
      <c r="Q177">
        <v>4.3600000000000003</v>
      </c>
      <c r="R177">
        <v>5.82</v>
      </c>
      <c r="S177">
        <v>-3</v>
      </c>
      <c r="AB177" t="str">
        <f t="shared" si="6"/>
        <v>No Catch</v>
      </c>
      <c r="AC177">
        <f t="shared" si="7"/>
        <v>0</v>
      </c>
      <c r="AD177">
        <f t="shared" si="8"/>
        <v>1.46</v>
      </c>
    </row>
    <row r="178" spans="1:30" x14ac:dyDescent="0.5">
      <c r="B178" s="1">
        <v>2</v>
      </c>
      <c r="C178" t="s">
        <v>3</v>
      </c>
      <c r="D178" s="1">
        <v>30</v>
      </c>
      <c r="F178" s="1" t="s">
        <v>156</v>
      </c>
      <c r="G178" s="1" t="s">
        <v>99</v>
      </c>
      <c r="H178" s="1" t="s">
        <v>100</v>
      </c>
      <c r="I178">
        <v>12</v>
      </c>
      <c r="J178">
        <v>7</v>
      </c>
      <c r="K178">
        <v>5</v>
      </c>
      <c r="L178">
        <v>34</v>
      </c>
      <c r="M178">
        <v>0</v>
      </c>
      <c r="Q178">
        <v>9.01</v>
      </c>
      <c r="R178">
        <v>9.93</v>
      </c>
      <c r="S178">
        <v>1</v>
      </c>
      <c r="AB178" t="str">
        <f t="shared" ref="AB178:AB210" si="9">IF($U178="Catch",$S178-$W178,"No Catch")</f>
        <v>No Catch</v>
      </c>
      <c r="AC178">
        <f t="shared" si="7"/>
        <v>0</v>
      </c>
      <c r="AD178">
        <f t="shared" si="8"/>
        <v>0.91999999999999993</v>
      </c>
    </row>
    <row r="179" spans="1:30" x14ac:dyDescent="0.5">
      <c r="B179" s="1">
        <v>3</v>
      </c>
      <c r="C179" t="s">
        <v>3</v>
      </c>
      <c r="D179" s="1">
        <v>30</v>
      </c>
      <c r="F179" s="1" t="s">
        <v>156</v>
      </c>
      <c r="G179" s="1" t="s">
        <v>99</v>
      </c>
      <c r="H179" s="1" t="s">
        <v>102</v>
      </c>
      <c r="I179">
        <v>11</v>
      </c>
      <c r="J179">
        <v>6</v>
      </c>
      <c r="K179">
        <v>5</v>
      </c>
      <c r="L179">
        <v>34</v>
      </c>
      <c r="M179">
        <v>4</v>
      </c>
      <c r="Q179">
        <v>4.03</v>
      </c>
      <c r="R179">
        <v>6</v>
      </c>
      <c r="S179">
        <v>5</v>
      </c>
      <c r="AB179" t="str">
        <f t="shared" si="9"/>
        <v>No Catch</v>
      </c>
      <c r="AC179">
        <f t="shared" si="7"/>
        <v>0</v>
      </c>
      <c r="AD179">
        <f t="shared" si="8"/>
        <v>1.9699999999999998</v>
      </c>
    </row>
    <row r="180" spans="1:30" x14ac:dyDescent="0.5">
      <c r="B180" s="1">
        <v>4</v>
      </c>
      <c r="C180" t="s">
        <v>3</v>
      </c>
      <c r="D180" s="1">
        <v>30</v>
      </c>
      <c r="F180" s="1" t="s">
        <v>156</v>
      </c>
      <c r="G180" s="1" t="s">
        <v>175</v>
      </c>
      <c r="H180" s="1" t="s">
        <v>47</v>
      </c>
      <c r="I180">
        <v>11</v>
      </c>
      <c r="J180">
        <v>6</v>
      </c>
      <c r="K180">
        <v>5</v>
      </c>
      <c r="O180">
        <v>2.96</v>
      </c>
      <c r="P180">
        <v>5.85</v>
      </c>
      <c r="S180">
        <v>8</v>
      </c>
      <c r="U180" t="s">
        <v>48</v>
      </c>
      <c r="V180" t="s">
        <v>32</v>
      </c>
      <c r="W180">
        <v>2</v>
      </c>
      <c r="X180">
        <v>34</v>
      </c>
      <c r="Y180" t="s">
        <v>153</v>
      </c>
      <c r="Z180" t="s">
        <v>173</v>
      </c>
      <c r="AA180" t="s">
        <v>221</v>
      </c>
      <c r="AB180">
        <f t="shared" si="9"/>
        <v>6</v>
      </c>
      <c r="AC180">
        <f t="shared" si="7"/>
        <v>2.8899999999999997</v>
      </c>
      <c r="AD180">
        <f t="shared" si="8"/>
        <v>0</v>
      </c>
    </row>
    <row r="181" spans="1:30" x14ac:dyDescent="0.5">
      <c r="B181" s="1">
        <v>9</v>
      </c>
      <c r="C181" t="s">
        <v>3</v>
      </c>
      <c r="D181" s="1">
        <v>30</v>
      </c>
      <c r="F181" s="1" t="s">
        <v>156</v>
      </c>
      <c r="G181" s="1" t="s">
        <v>175</v>
      </c>
      <c r="H181" s="1" t="s">
        <v>47</v>
      </c>
      <c r="I181">
        <v>11</v>
      </c>
      <c r="J181">
        <v>7</v>
      </c>
      <c r="K181">
        <v>5</v>
      </c>
      <c r="O181">
        <v>3.02</v>
      </c>
      <c r="P181">
        <v>4.21</v>
      </c>
      <c r="S181">
        <v>7</v>
      </c>
      <c r="U181" t="s">
        <v>48</v>
      </c>
      <c r="V181" t="s">
        <v>32</v>
      </c>
      <c r="W181">
        <v>-2</v>
      </c>
      <c r="X181">
        <v>4</v>
      </c>
      <c r="Y181" t="s">
        <v>153</v>
      </c>
      <c r="Z181" t="s">
        <v>191</v>
      </c>
      <c r="AA181" t="s">
        <v>185</v>
      </c>
      <c r="AB181">
        <f t="shared" si="9"/>
        <v>9</v>
      </c>
      <c r="AC181">
        <f t="shared" si="7"/>
        <v>1.19</v>
      </c>
      <c r="AD181">
        <f t="shared" si="8"/>
        <v>0</v>
      </c>
    </row>
    <row r="182" spans="1:30" x14ac:dyDescent="0.5">
      <c r="B182" s="1">
        <v>10</v>
      </c>
      <c r="C182" t="s">
        <v>3</v>
      </c>
      <c r="D182" s="1">
        <v>30</v>
      </c>
      <c r="F182" s="1" t="s">
        <v>156</v>
      </c>
      <c r="G182" s="1" t="s">
        <v>99</v>
      </c>
      <c r="H182" s="1" t="s">
        <v>100</v>
      </c>
      <c r="I182">
        <v>11</v>
      </c>
      <c r="J182">
        <v>7</v>
      </c>
      <c r="K182">
        <v>5</v>
      </c>
      <c r="L182">
        <v>34</v>
      </c>
      <c r="M182">
        <v>-2</v>
      </c>
      <c r="Q182">
        <v>2.27</v>
      </c>
      <c r="R182">
        <v>3.14</v>
      </c>
      <c r="S182">
        <v>-2</v>
      </c>
      <c r="AB182" t="str">
        <f t="shared" si="9"/>
        <v>No Catch</v>
      </c>
      <c r="AC182">
        <f t="shared" si="7"/>
        <v>0</v>
      </c>
      <c r="AD182">
        <f t="shared" si="8"/>
        <v>0.87000000000000011</v>
      </c>
    </row>
    <row r="183" spans="1:30" x14ac:dyDescent="0.5">
      <c r="A183" t="s">
        <v>291</v>
      </c>
      <c r="B183" s="1">
        <v>1</v>
      </c>
      <c r="C183" t="s">
        <v>3</v>
      </c>
      <c r="D183" s="1">
        <v>30</v>
      </c>
      <c r="F183" s="1" t="s">
        <v>156</v>
      </c>
      <c r="G183" s="1" t="s">
        <v>99</v>
      </c>
      <c r="H183" s="1" t="s">
        <v>100</v>
      </c>
      <c r="I183">
        <v>11</v>
      </c>
      <c r="J183">
        <v>7</v>
      </c>
      <c r="K183">
        <v>5</v>
      </c>
      <c r="L183">
        <v>34</v>
      </c>
      <c r="M183">
        <v>4</v>
      </c>
      <c r="Q183">
        <v>4.92</v>
      </c>
      <c r="R183">
        <v>6.12</v>
      </c>
      <c r="S183">
        <v>15</v>
      </c>
      <c r="AB183" t="str">
        <f t="shared" si="9"/>
        <v>No Catch</v>
      </c>
      <c r="AC183">
        <f t="shared" si="7"/>
        <v>0</v>
      </c>
      <c r="AD183">
        <f t="shared" si="8"/>
        <v>1.2000000000000002</v>
      </c>
    </row>
    <row r="184" spans="1:30" x14ac:dyDescent="0.5">
      <c r="B184" s="1">
        <v>2</v>
      </c>
      <c r="C184" t="s">
        <v>3</v>
      </c>
      <c r="D184" s="1">
        <v>40</v>
      </c>
      <c r="F184" s="1" t="s">
        <v>156</v>
      </c>
      <c r="G184" s="1" t="s">
        <v>174</v>
      </c>
      <c r="I184">
        <v>11</v>
      </c>
      <c r="J184">
        <v>6</v>
      </c>
      <c r="K184">
        <v>5</v>
      </c>
      <c r="O184">
        <v>5.33</v>
      </c>
      <c r="P184">
        <v>7.95</v>
      </c>
      <c r="S184">
        <v>-7</v>
      </c>
      <c r="AB184" t="str">
        <f t="shared" si="9"/>
        <v>No Catch</v>
      </c>
      <c r="AC184">
        <f t="shared" si="7"/>
        <v>2.62</v>
      </c>
      <c r="AD184">
        <f t="shared" si="8"/>
        <v>0</v>
      </c>
    </row>
    <row r="185" spans="1:30" x14ac:dyDescent="0.5">
      <c r="B185" s="1">
        <v>3</v>
      </c>
      <c r="C185" t="s">
        <v>228</v>
      </c>
      <c r="D185" s="1">
        <v>50</v>
      </c>
      <c r="F185" s="1" t="s">
        <v>156</v>
      </c>
      <c r="G185" s="1" t="s">
        <v>175</v>
      </c>
      <c r="H185" s="1" t="s">
        <v>102</v>
      </c>
      <c r="I185">
        <v>11</v>
      </c>
      <c r="J185">
        <v>6</v>
      </c>
      <c r="K185">
        <v>5</v>
      </c>
      <c r="O185">
        <v>7.27</v>
      </c>
      <c r="P185">
        <v>11.68</v>
      </c>
      <c r="S185">
        <v>3</v>
      </c>
      <c r="U185" t="s">
        <v>48</v>
      </c>
      <c r="V185" t="s">
        <v>32</v>
      </c>
      <c r="W185">
        <v>3</v>
      </c>
      <c r="X185">
        <v>14</v>
      </c>
      <c r="Y185" t="s">
        <v>166</v>
      </c>
      <c r="Z185" t="s">
        <v>189</v>
      </c>
      <c r="AA185" t="s">
        <v>180</v>
      </c>
      <c r="AB185">
        <f t="shared" si="9"/>
        <v>0</v>
      </c>
      <c r="AC185">
        <f t="shared" si="7"/>
        <v>4.41</v>
      </c>
      <c r="AD185">
        <f t="shared" si="8"/>
        <v>0</v>
      </c>
    </row>
    <row r="186" spans="1:30" x14ac:dyDescent="0.5">
      <c r="B186" s="1">
        <v>4</v>
      </c>
      <c r="C186" t="s">
        <v>101</v>
      </c>
      <c r="D186" s="1">
        <v>40</v>
      </c>
      <c r="F186" s="1" t="s">
        <v>156</v>
      </c>
      <c r="G186" s="1" t="s">
        <v>175</v>
      </c>
      <c r="H186" s="1" t="s">
        <v>47</v>
      </c>
      <c r="I186">
        <v>11</v>
      </c>
      <c r="J186">
        <v>7</v>
      </c>
      <c r="K186">
        <v>5</v>
      </c>
      <c r="O186">
        <v>3.28</v>
      </c>
      <c r="P186">
        <v>4.4000000000000004</v>
      </c>
      <c r="S186">
        <v>0</v>
      </c>
      <c r="U186" t="s">
        <v>163</v>
      </c>
      <c r="V186" t="s">
        <v>28</v>
      </c>
      <c r="W186">
        <v>-1</v>
      </c>
      <c r="X186">
        <v>4</v>
      </c>
      <c r="Y186" t="s">
        <v>153</v>
      </c>
      <c r="Z186" t="s">
        <v>191</v>
      </c>
      <c r="AA186" t="s">
        <v>185</v>
      </c>
      <c r="AB186" t="str">
        <f t="shared" si="9"/>
        <v>No Catch</v>
      </c>
      <c r="AC186">
        <f t="shared" si="7"/>
        <v>1.1200000000000006</v>
      </c>
      <c r="AD186">
        <f t="shared" si="8"/>
        <v>0</v>
      </c>
    </row>
    <row r="187" spans="1:30" x14ac:dyDescent="0.5">
      <c r="B187" s="1">
        <v>5</v>
      </c>
      <c r="C187" t="s">
        <v>101</v>
      </c>
      <c r="D187" s="1">
        <v>30</v>
      </c>
      <c r="F187" s="1" t="s">
        <v>155</v>
      </c>
      <c r="G187" s="1" t="s">
        <v>175</v>
      </c>
      <c r="H187" s="1" t="s">
        <v>102</v>
      </c>
      <c r="I187">
        <v>11</v>
      </c>
      <c r="J187">
        <v>6</v>
      </c>
      <c r="K187">
        <v>5</v>
      </c>
      <c r="O187">
        <v>1.7</v>
      </c>
      <c r="P187">
        <v>4.3499999999999996</v>
      </c>
      <c r="S187">
        <v>7</v>
      </c>
      <c r="U187" t="s">
        <v>48</v>
      </c>
      <c r="V187" t="s">
        <v>32</v>
      </c>
      <c r="W187">
        <v>3</v>
      </c>
      <c r="X187">
        <v>82</v>
      </c>
      <c r="Y187" t="s">
        <v>153</v>
      </c>
      <c r="Z187" t="s">
        <v>160</v>
      </c>
      <c r="AA187" t="s">
        <v>161</v>
      </c>
      <c r="AB187">
        <f t="shared" si="9"/>
        <v>4</v>
      </c>
      <c r="AC187">
        <f t="shared" si="7"/>
        <v>2.6499999999999995</v>
      </c>
      <c r="AD187">
        <f t="shared" si="8"/>
        <v>0</v>
      </c>
    </row>
    <row r="188" spans="1:30" x14ac:dyDescent="0.5">
      <c r="B188" s="1">
        <v>6</v>
      </c>
      <c r="C188" t="s">
        <v>101</v>
      </c>
      <c r="D188" s="1">
        <v>20</v>
      </c>
      <c r="F188" s="1" t="s">
        <v>156</v>
      </c>
      <c r="G188" s="1" t="s">
        <v>175</v>
      </c>
      <c r="H188" s="1" t="s">
        <v>47</v>
      </c>
      <c r="I188">
        <v>11</v>
      </c>
      <c r="J188">
        <v>6</v>
      </c>
      <c r="K188">
        <v>5</v>
      </c>
      <c r="O188">
        <v>3.56</v>
      </c>
      <c r="P188">
        <v>4.9800000000000004</v>
      </c>
      <c r="S188">
        <v>2</v>
      </c>
      <c r="U188" t="s">
        <v>48</v>
      </c>
      <c r="V188" t="s">
        <v>32</v>
      </c>
      <c r="W188">
        <v>2</v>
      </c>
      <c r="X188">
        <v>34</v>
      </c>
      <c r="Y188" t="s">
        <v>166</v>
      </c>
      <c r="Z188" t="s">
        <v>197</v>
      </c>
      <c r="AA188" t="s">
        <v>221</v>
      </c>
      <c r="AB188">
        <f t="shared" si="9"/>
        <v>0</v>
      </c>
      <c r="AC188">
        <f t="shared" si="7"/>
        <v>1.4200000000000004</v>
      </c>
      <c r="AD188">
        <f t="shared" si="8"/>
        <v>0</v>
      </c>
    </row>
    <row r="189" spans="1:30" x14ac:dyDescent="0.5">
      <c r="B189" s="1">
        <v>13</v>
      </c>
      <c r="C189" t="s">
        <v>3</v>
      </c>
      <c r="D189" s="1">
        <v>30</v>
      </c>
      <c r="F189" s="1" t="s">
        <v>156</v>
      </c>
      <c r="G189" s="1" t="s">
        <v>175</v>
      </c>
      <c r="H189" s="1" t="s">
        <v>102</v>
      </c>
      <c r="I189">
        <v>11</v>
      </c>
      <c r="J189">
        <v>7</v>
      </c>
      <c r="K189">
        <v>5</v>
      </c>
      <c r="O189">
        <v>8.91</v>
      </c>
      <c r="P189">
        <v>11.3</v>
      </c>
      <c r="S189">
        <v>13</v>
      </c>
      <c r="U189" t="s">
        <v>48</v>
      </c>
      <c r="V189" t="s">
        <v>32</v>
      </c>
      <c r="W189">
        <v>13</v>
      </c>
      <c r="X189">
        <v>6</v>
      </c>
      <c r="Y189" t="s">
        <v>166</v>
      </c>
      <c r="Z189" t="s">
        <v>216</v>
      </c>
      <c r="AA189" t="s">
        <v>219</v>
      </c>
      <c r="AB189">
        <f t="shared" si="9"/>
        <v>0</v>
      </c>
      <c r="AC189">
        <f t="shared" si="7"/>
        <v>2.3900000000000006</v>
      </c>
      <c r="AD189">
        <f t="shared" si="8"/>
        <v>0</v>
      </c>
    </row>
    <row r="190" spans="1:30" x14ac:dyDescent="0.5">
      <c r="B190" s="1">
        <v>15</v>
      </c>
      <c r="C190" t="s">
        <v>228</v>
      </c>
      <c r="D190" s="1">
        <v>50</v>
      </c>
      <c r="F190" s="1" t="s">
        <v>155</v>
      </c>
      <c r="G190" s="1" t="s">
        <v>175</v>
      </c>
      <c r="H190" s="1" t="s">
        <v>102</v>
      </c>
      <c r="I190">
        <v>11</v>
      </c>
      <c r="J190">
        <v>7</v>
      </c>
      <c r="K190">
        <v>5</v>
      </c>
      <c r="O190">
        <v>1.1299999999999999</v>
      </c>
      <c r="P190">
        <v>4.93</v>
      </c>
      <c r="S190">
        <v>0</v>
      </c>
      <c r="U190" t="s">
        <v>163</v>
      </c>
      <c r="V190" t="s">
        <v>292</v>
      </c>
      <c r="W190">
        <v>20</v>
      </c>
      <c r="X190">
        <v>4</v>
      </c>
      <c r="Y190" t="s">
        <v>153</v>
      </c>
      <c r="Z190" t="s">
        <v>191</v>
      </c>
      <c r="AA190" t="s">
        <v>180</v>
      </c>
      <c r="AB190" t="str">
        <f t="shared" si="9"/>
        <v>No Catch</v>
      </c>
      <c r="AC190">
        <f t="shared" si="7"/>
        <v>3.8</v>
      </c>
      <c r="AD190">
        <f t="shared" si="8"/>
        <v>0</v>
      </c>
    </row>
    <row r="191" spans="1:30" x14ac:dyDescent="0.5">
      <c r="B191" s="1">
        <v>16</v>
      </c>
      <c r="C191" t="s">
        <v>101</v>
      </c>
      <c r="D191" s="1">
        <v>40</v>
      </c>
      <c r="F191" s="1" t="s">
        <v>156</v>
      </c>
      <c r="G191" s="1" t="s">
        <v>175</v>
      </c>
      <c r="H191" s="1" t="s">
        <v>102</v>
      </c>
      <c r="I191">
        <v>11</v>
      </c>
      <c r="J191">
        <v>6</v>
      </c>
      <c r="K191">
        <v>5</v>
      </c>
      <c r="O191">
        <v>4.43</v>
      </c>
      <c r="P191">
        <v>5.97</v>
      </c>
      <c r="S191">
        <v>5</v>
      </c>
      <c r="U191" t="s">
        <v>48</v>
      </c>
      <c r="V191" t="s">
        <v>32</v>
      </c>
      <c r="W191">
        <v>4</v>
      </c>
      <c r="X191">
        <v>6</v>
      </c>
      <c r="Y191" t="s">
        <v>166</v>
      </c>
      <c r="Z191" t="s">
        <v>216</v>
      </c>
      <c r="AA191" t="s">
        <v>217</v>
      </c>
      <c r="AB191">
        <f t="shared" si="9"/>
        <v>1</v>
      </c>
      <c r="AC191">
        <f t="shared" si="7"/>
        <v>1.54</v>
      </c>
      <c r="AD191">
        <f t="shared" si="8"/>
        <v>0</v>
      </c>
    </row>
    <row r="192" spans="1:30" x14ac:dyDescent="0.5">
      <c r="B192" s="1">
        <v>17</v>
      </c>
      <c r="C192" t="s">
        <v>101</v>
      </c>
      <c r="D192" s="1">
        <v>30</v>
      </c>
      <c r="F192" s="1" t="s">
        <v>156</v>
      </c>
      <c r="G192" s="1" t="s">
        <v>99</v>
      </c>
      <c r="H192" s="1" t="s">
        <v>47</v>
      </c>
      <c r="I192">
        <v>11</v>
      </c>
      <c r="J192">
        <v>7</v>
      </c>
      <c r="K192">
        <v>5</v>
      </c>
      <c r="L192">
        <v>34</v>
      </c>
      <c r="M192">
        <v>2</v>
      </c>
      <c r="Q192">
        <v>2.81</v>
      </c>
      <c r="R192">
        <v>5.0999999999999996</v>
      </c>
      <c r="S192">
        <v>3</v>
      </c>
      <c r="AB192" t="str">
        <f t="shared" si="9"/>
        <v>No Catch</v>
      </c>
      <c r="AC192">
        <f t="shared" si="7"/>
        <v>0</v>
      </c>
      <c r="AD192">
        <f t="shared" si="8"/>
        <v>2.2899999999999996</v>
      </c>
    </row>
    <row r="193" spans="1:30" x14ac:dyDescent="0.5">
      <c r="B193" s="1">
        <v>18</v>
      </c>
      <c r="C193" t="s">
        <v>101</v>
      </c>
      <c r="D193" s="1">
        <v>20</v>
      </c>
      <c r="F193" s="1" t="s">
        <v>156</v>
      </c>
      <c r="G193" s="1" t="s">
        <v>175</v>
      </c>
      <c r="H193" s="1" t="s">
        <v>100</v>
      </c>
      <c r="I193">
        <v>11</v>
      </c>
      <c r="J193">
        <v>6</v>
      </c>
      <c r="K193">
        <v>5</v>
      </c>
      <c r="O193">
        <v>4.16</v>
      </c>
      <c r="P193">
        <v>6.23</v>
      </c>
      <c r="S193">
        <v>0</v>
      </c>
      <c r="U193" t="s">
        <v>163</v>
      </c>
      <c r="V193" t="s">
        <v>28</v>
      </c>
      <c r="W193">
        <v>20</v>
      </c>
      <c r="X193">
        <v>4</v>
      </c>
      <c r="Y193" t="s">
        <v>166</v>
      </c>
      <c r="Z193" t="s">
        <v>151</v>
      </c>
      <c r="AA193" t="s">
        <v>179</v>
      </c>
      <c r="AB193" t="str">
        <f t="shared" si="9"/>
        <v>No Catch</v>
      </c>
      <c r="AC193">
        <f t="shared" si="7"/>
        <v>2.0700000000000003</v>
      </c>
      <c r="AD193">
        <f t="shared" si="8"/>
        <v>0</v>
      </c>
    </row>
    <row r="194" spans="1:30" x14ac:dyDescent="0.5">
      <c r="A194" t="s">
        <v>293</v>
      </c>
      <c r="B194" s="1">
        <v>1</v>
      </c>
      <c r="C194" t="s">
        <v>101</v>
      </c>
      <c r="D194" s="1">
        <v>30</v>
      </c>
      <c r="F194" s="1" t="s">
        <v>156</v>
      </c>
      <c r="G194" s="1" t="s">
        <v>99</v>
      </c>
      <c r="H194" s="1" t="s">
        <v>100</v>
      </c>
      <c r="I194">
        <v>11</v>
      </c>
      <c r="J194">
        <v>6</v>
      </c>
      <c r="K194">
        <v>5</v>
      </c>
      <c r="L194">
        <v>34</v>
      </c>
      <c r="M194">
        <v>5</v>
      </c>
      <c r="Q194">
        <v>10.06</v>
      </c>
      <c r="R194">
        <v>12.72</v>
      </c>
      <c r="S194">
        <v>10</v>
      </c>
      <c r="AB194" t="str">
        <f t="shared" si="9"/>
        <v>No Catch</v>
      </c>
      <c r="AC194">
        <f t="shared" si="7"/>
        <v>0</v>
      </c>
      <c r="AD194">
        <f t="shared" si="8"/>
        <v>2.66</v>
      </c>
    </row>
    <row r="195" spans="1:30" x14ac:dyDescent="0.5">
      <c r="B195" s="1">
        <v>2</v>
      </c>
      <c r="C195" t="s">
        <v>101</v>
      </c>
      <c r="D195" s="1">
        <v>30</v>
      </c>
      <c r="F195" s="1" t="s">
        <v>156</v>
      </c>
      <c r="G195" s="1" t="s">
        <v>175</v>
      </c>
      <c r="I195">
        <v>12</v>
      </c>
      <c r="J195">
        <v>7</v>
      </c>
      <c r="K195">
        <v>5</v>
      </c>
      <c r="O195">
        <v>11.39</v>
      </c>
      <c r="P195">
        <v>14.39</v>
      </c>
      <c r="S195">
        <v>0</v>
      </c>
      <c r="U195" t="s">
        <v>163</v>
      </c>
      <c r="V195" t="s">
        <v>294</v>
      </c>
      <c r="Y195" t="s">
        <v>153</v>
      </c>
      <c r="AB195" t="str">
        <f t="shared" si="9"/>
        <v>No Catch</v>
      </c>
      <c r="AC195">
        <f t="shared" ref="AC195:AC210" si="10">$P195-$O195</f>
        <v>3</v>
      </c>
      <c r="AD195">
        <f t="shared" si="8"/>
        <v>0</v>
      </c>
    </row>
    <row r="196" spans="1:30" x14ac:dyDescent="0.5">
      <c r="B196" s="1">
        <v>3</v>
      </c>
      <c r="C196" t="s">
        <v>101</v>
      </c>
      <c r="D196" s="1">
        <v>20</v>
      </c>
      <c r="F196" s="1" t="s">
        <v>156</v>
      </c>
      <c r="G196" s="1" t="s">
        <v>99</v>
      </c>
      <c r="H196" s="1" t="s">
        <v>100</v>
      </c>
      <c r="I196">
        <v>12</v>
      </c>
      <c r="J196">
        <v>9</v>
      </c>
      <c r="K196">
        <v>5</v>
      </c>
      <c r="L196">
        <v>34</v>
      </c>
      <c r="M196">
        <v>-2</v>
      </c>
      <c r="Q196">
        <v>8.2100000000000009</v>
      </c>
      <c r="R196">
        <v>9.15</v>
      </c>
      <c r="S196">
        <v>-2</v>
      </c>
      <c r="AB196" t="str">
        <f t="shared" si="9"/>
        <v>No Catch</v>
      </c>
      <c r="AC196">
        <f t="shared" si="10"/>
        <v>0</v>
      </c>
      <c r="AD196">
        <f t="shared" si="8"/>
        <v>0.9399999999999995</v>
      </c>
    </row>
    <row r="197" spans="1:30" x14ac:dyDescent="0.5">
      <c r="B197" s="1">
        <v>4</v>
      </c>
      <c r="C197" t="s">
        <v>101</v>
      </c>
      <c r="D197" s="1">
        <v>20</v>
      </c>
      <c r="F197" s="1" t="s">
        <v>156</v>
      </c>
      <c r="G197" s="1" t="s">
        <v>175</v>
      </c>
      <c r="H197" s="1" t="s">
        <v>102</v>
      </c>
      <c r="I197">
        <v>11</v>
      </c>
      <c r="J197">
        <v>6</v>
      </c>
      <c r="K197">
        <v>5</v>
      </c>
      <c r="O197">
        <v>34.51</v>
      </c>
      <c r="P197">
        <v>37.25</v>
      </c>
      <c r="S197">
        <v>0</v>
      </c>
      <c r="U197" t="s">
        <v>163</v>
      </c>
      <c r="V197" t="s">
        <v>28</v>
      </c>
      <c r="W197">
        <v>8</v>
      </c>
      <c r="X197">
        <v>14</v>
      </c>
      <c r="Y197" t="s">
        <v>166</v>
      </c>
      <c r="Z197" t="s">
        <v>189</v>
      </c>
      <c r="AA197" t="s">
        <v>180</v>
      </c>
      <c r="AB197" t="str">
        <f t="shared" si="9"/>
        <v>No Catch</v>
      </c>
      <c r="AC197">
        <f t="shared" si="10"/>
        <v>2.740000000000002</v>
      </c>
      <c r="AD197">
        <f t="shared" ref="AD197:AD210" si="11">$R197-$Q197</f>
        <v>0</v>
      </c>
    </row>
    <row r="198" spans="1:30" x14ac:dyDescent="0.5">
      <c r="B198" s="1">
        <v>5</v>
      </c>
      <c r="C198" t="s">
        <v>101</v>
      </c>
      <c r="D198" s="1">
        <v>10</v>
      </c>
      <c r="F198" s="1" t="s">
        <v>156</v>
      </c>
      <c r="G198" s="1" t="s">
        <v>175</v>
      </c>
      <c r="H198" s="1" t="s">
        <v>47</v>
      </c>
      <c r="I198">
        <v>11</v>
      </c>
      <c r="J198">
        <v>8</v>
      </c>
      <c r="K198">
        <v>5</v>
      </c>
      <c r="O198">
        <v>9.9600000000000009</v>
      </c>
      <c r="P198">
        <v>11.35</v>
      </c>
      <c r="S198">
        <v>0</v>
      </c>
      <c r="U198" t="s">
        <v>163</v>
      </c>
      <c r="V198" t="s">
        <v>32</v>
      </c>
      <c r="W198">
        <v>10</v>
      </c>
      <c r="X198">
        <v>14</v>
      </c>
      <c r="Y198" t="s">
        <v>166</v>
      </c>
      <c r="Z198" t="s">
        <v>189</v>
      </c>
      <c r="AA198" t="s">
        <v>227</v>
      </c>
      <c r="AB198" t="str">
        <f t="shared" si="9"/>
        <v>No Catch</v>
      </c>
      <c r="AC198">
        <f t="shared" si="10"/>
        <v>1.3899999999999988</v>
      </c>
      <c r="AD198">
        <f t="shared" si="11"/>
        <v>0</v>
      </c>
    </row>
    <row r="199" spans="1:30" x14ac:dyDescent="0.5">
      <c r="A199" t="s">
        <v>295</v>
      </c>
      <c r="B199" s="1">
        <v>1</v>
      </c>
      <c r="C199" t="s">
        <v>3</v>
      </c>
      <c r="D199" s="1">
        <v>30</v>
      </c>
      <c r="F199" s="1" t="s">
        <v>156</v>
      </c>
      <c r="G199" s="1" t="s">
        <v>99</v>
      </c>
      <c r="H199" s="1" t="s">
        <v>100</v>
      </c>
      <c r="I199">
        <v>11</v>
      </c>
      <c r="J199">
        <v>6</v>
      </c>
      <c r="K199">
        <v>5</v>
      </c>
      <c r="L199">
        <v>34</v>
      </c>
      <c r="M199">
        <v>2.5</v>
      </c>
      <c r="Q199">
        <v>14.31</v>
      </c>
      <c r="R199">
        <v>15.77</v>
      </c>
      <c r="S199">
        <v>3</v>
      </c>
      <c r="AB199" t="str">
        <f t="shared" si="9"/>
        <v>No Catch</v>
      </c>
      <c r="AC199">
        <f t="shared" si="10"/>
        <v>0</v>
      </c>
      <c r="AD199">
        <f t="shared" si="11"/>
        <v>1.4599999999999991</v>
      </c>
    </row>
    <row r="200" spans="1:30" x14ac:dyDescent="0.5">
      <c r="B200" s="1">
        <v>2</v>
      </c>
      <c r="C200" t="s">
        <v>3</v>
      </c>
      <c r="D200" s="1">
        <v>33</v>
      </c>
      <c r="F200" s="1" t="s">
        <v>156</v>
      </c>
      <c r="G200" s="1" t="s">
        <v>174</v>
      </c>
      <c r="I200">
        <v>11</v>
      </c>
      <c r="J200">
        <v>7</v>
      </c>
      <c r="K200">
        <v>5</v>
      </c>
      <c r="O200">
        <v>8.9600000000000009</v>
      </c>
      <c r="P200">
        <v>12.01</v>
      </c>
      <c r="S200">
        <v>-8</v>
      </c>
      <c r="Y200" t="s">
        <v>153</v>
      </c>
      <c r="AB200" t="str">
        <f t="shared" si="9"/>
        <v>No Catch</v>
      </c>
      <c r="AC200">
        <f t="shared" si="10"/>
        <v>3.0499999999999989</v>
      </c>
      <c r="AD200">
        <f t="shared" si="11"/>
        <v>0</v>
      </c>
    </row>
    <row r="201" spans="1:30" x14ac:dyDescent="0.5">
      <c r="B201" s="1">
        <v>3</v>
      </c>
      <c r="C201" t="s">
        <v>3</v>
      </c>
      <c r="D201" s="1">
        <v>33</v>
      </c>
      <c r="F201" s="1" t="s">
        <v>156</v>
      </c>
      <c r="G201" s="1" t="s">
        <v>174</v>
      </c>
      <c r="I201">
        <v>10</v>
      </c>
      <c r="J201">
        <v>6</v>
      </c>
      <c r="K201">
        <v>5</v>
      </c>
      <c r="O201">
        <v>8.6199999999999992</v>
      </c>
      <c r="P201">
        <v>10.210000000000001</v>
      </c>
      <c r="S201">
        <v>-7</v>
      </c>
      <c r="Y201" t="s">
        <v>166</v>
      </c>
      <c r="AB201" t="str">
        <f t="shared" si="9"/>
        <v>No Catch</v>
      </c>
      <c r="AC201">
        <f t="shared" si="10"/>
        <v>1.5900000000000016</v>
      </c>
      <c r="AD201">
        <f t="shared" si="11"/>
        <v>0</v>
      </c>
    </row>
    <row r="202" spans="1:30" x14ac:dyDescent="0.5">
      <c r="B202" s="1">
        <v>4</v>
      </c>
      <c r="C202" t="s">
        <v>3</v>
      </c>
      <c r="D202" s="1">
        <v>34</v>
      </c>
      <c r="F202" s="1" t="s">
        <v>156</v>
      </c>
      <c r="G202" s="1" t="s">
        <v>99</v>
      </c>
      <c r="H202" s="1" t="s">
        <v>102</v>
      </c>
      <c r="I202">
        <v>11</v>
      </c>
      <c r="J202">
        <v>7</v>
      </c>
      <c r="K202">
        <v>5</v>
      </c>
      <c r="L202">
        <v>34</v>
      </c>
      <c r="M202">
        <v>-4</v>
      </c>
      <c r="Q202">
        <v>22.32</v>
      </c>
      <c r="R202">
        <v>22.67</v>
      </c>
      <c r="S202">
        <v>5</v>
      </c>
      <c r="AB202" t="str">
        <f t="shared" si="9"/>
        <v>No Catch</v>
      </c>
      <c r="AC202">
        <f t="shared" si="10"/>
        <v>0</v>
      </c>
      <c r="AD202">
        <f t="shared" si="11"/>
        <v>0.35000000000000142</v>
      </c>
    </row>
    <row r="203" spans="1:30" x14ac:dyDescent="0.5">
      <c r="B203" s="1">
        <v>5</v>
      </c>
      <c r="C203" t="s">
        <v>3</v>
      </c>
      <c r="D203" s="1">
        <v>35</v>
      </c>
      <c r="F203" s="1" t="s">
        <v>156</v>
      </c>
      <c r="G203" s="1" t="s">
        <v>99</v>
      </c>
      <c r="H203" s="1" t="s">
        <v>100</v>
      </c>
      <c r="I203">
        <v>11</v>
      </c>
      <c r="J203">
        <v>6</v>
      </c>
      <c r="K203">
        <v>5</v>
      </c>
      <c r="L203">
        <v>34</v>
      </c>
      <c r="M203">
        <v>0.5</v>
      </c>
      <c r="Q203">
        <v>5.62</v>
      </c>
      <c r="R203">
        <v>6.64</v>
      </c>
      <c r="S203">
        <v>2</v>
      </c>
      <c r="AB203" t="str">
        <f t="shared" si="9"/>
        <v>No Catch</v>
      </c>
      <c r="AC203">
        <f t="shared" si="10"/>
        <v>0</v>
      </c>
      <c r="AD203">
        <f t="shared" si="11"/>
        <v>1.0199999999999996</v>
      </c>
    </row>
    <row r="204" spans="1:30" x14ac:dyDescent="0.5">
      <c r="B204" s="1">
        <v>6</v>
      </c>
      <c r="C204" t="s">
        <v>3</v>
      </c>
      <c r="D204" s="1">
        <v>40</v>
      </c>
      <c r="F204" s="1" t="s">
        <v>156</v>
      </c>
      <c r="G204" s="1" t="s">
        <v>99</v>
      </c>
      <c r="H204" s="1" t="s">
        <v>47</v>
      </c>
      <c r="I204">
        <v>11</v>
      </c>
      <c r="J204">
        <v>7</v>
      </c>
      <c r="K204">
        <v>5</v>
      </c>
      <c r="L204">
        <v>34</v>
      </c>
      <c r="M204">
        <v>-2</v>
      </c>
      <c r="Q204">
        <v>23.69</v>
      </c>
      <c r="R204">
        <v>25.04</v>
      </c>
      <c r="S204">
        <v>-2</v>
      </c>
      <c r="AB204" t="str">
        <f t="shared" si="9"/>
        <v>No Catch</v>
      </c>
      <c r="AC204">
        <f t="shared" si="10"/>
        <v>0</v>
      </c>
      <c r="AD204">
        <f t="shared" si="11"/>
        <v>1.3499999999999979</v>
      </c>
    </row>
    <row r="205" spans="1:30" x14ac:dyDescent="0.5">
      <c r="B205" s="1">
        <v>13</v>
      </c>
      <c r="C205" t="s">
        <v>3</v>
      </c>
      <c r="D205" s="1">
        <v>30</v>
      </c>
      <c r="F205" s="1" t="s">
        <v>156</v>
      </c>
      <c r="G205" s="1" t="s">
        <v>175</v>
      </c>
      <c r="H205" s="1" t="s">
        <v>47</v>
      </c>
      <c r="I205">
        <v>11</v>
      </c>
      <c r="J205">
        <v>6</v>
      </c>
      <c r="K205">
        <v>5</v>
      </c>
      <c r="O205">
        <v>10.33</v>
      </c>
      <c r="P205">
        <v>11.86</v>
      </c>
      <c r="S205">
        <v>4</v>
      </c>
      <c r="U205" t="s">
        <v>48</v>
      </c>
      <c r="V205" t="s">
        <v>32</v>
      </c>
      <c r="W205">
        <v>4</v>
      </c>
      <c r="X205">
        <v>82</v>
      </c>
      <c r="Y205" t="s">
        <v>166</v>
      </c>
      <c r="Z205" t="s">
        <v>191</v>
      </c>
      <c r="AA205" t="s">
        <v>221</v>
      </c>
      <c r="AB205">
        <f t="shared" si="9"/>
        <v>0</v>
      </c>
      <c r="AC205">
        <f t="shared" si="10"/>
        <v>1.5299999999999994</v>
      </c>
      <c r="AD205">
        <f t="shared" si="11"/>
        <v>0</v>
      </c>
    </row>
    <row r="206" spans="1:30" x14ac:dyDescent="0.5">
      <c r="B206" s="1">
        <v>14</v>
      </c>
      <c r="C206" t="s">
        <v>3</v>
      </c>
      <c r="D206" s="1">
        <v>35</v>
      </c>
      <c r="F206" s="1" t="s">
        <v>156</v>
      </c>
      <c r="G206" s="1" t="s">
        <v>175</v>
      </c>
      <c r="H206" s="1" t="s">
        <v>100</v>
      </c>
      <c r="I206">
        <v>11</v>
      </c>
      <c r="J206">
        <v>6</v>
      </c>
      <c r="K206">
        <v>5</v>
      </c>
      <c r="O206">
        <v>7.04</v>
      </c>
      <c r="P206">
        <v>8.7899999999999991</v>
      </c>
      <c r="S206">
        <v>6</v>
      </c>
      <c r="U206" t="s">
        <v>48</v>
      </c>
      <c r="V206" t="s">
        <v>32</v>
      </c>
      <c r="W206">
        <v>5</v>
      </c>
      <c r="X206">
        <v>14</v>
      </c>
      <c r="Y206" t="s">
        <v>166</v>
      </c>
      <c r="Z206" t="s">
        <v>189</v>
      </c>
      <c r="AA206" t="s">
        <v>181</v>
      </c>
      <c r="AB206">
        <f t="shared" si="9"/>
        <v>1</v>
      </c>
      <c r="AC206">
        <f t="shared" si="10"/>
        <v>1.7499999999999991</v>
      </c>
      <c r="AD206">
        <f t="shared" si="11"/>
        <v>0</v>
      </c>
    </row>
    <row r="207" spans="1:30" x14ac:dyDescent="0.5">
      <c r="B207" s="1">
        <v>15</v>
      </c>
      <c r="C207" t="s">
        <v>3</v>
      </c>
      <c r="D207" s="1">
        <v>40</v>
      </c>
      <c r="F207" s="1" t="s">
        <v>156</v>
      </c>
      <c r="G207" s="1" t="s">
        <v>99</v>
      </c>
      <c r="H207" s="1" t="s">
        <v>102</v>
      </c>
      <c r="I207">
        <v>11</v>
      </c>
      <c r="J207">
        <v>6</v>
      </c>
      <c r="K207">
        <v>5</v>
      </c>
      <c r="L207">
        <v>34</v>
      </c>
      <c r="M207">
        <v>-0.5</v>
      </c>
      <c r="Q207">
        <v>9.2100000000000009</v>
      </c>
      <c r="R207">
        <v>10.54</v>
      </c>
      <c r="S207">
        <v>0</v>
      </c>
      <c r="AB207" t="str">
        <f t="shared" si="9"/>
        <v>No Catch</v>
      </c>
      <c r="AC207">
        <f t="shared" si="10"/>
        <v>0</v>
      </c>
      <c r="AD207">
        <f t="shared" si="11"/>
        <v>1.3299999999999983</v>
      </c>
    </row>
    <row r="208" spans="1:30" x14ac:dyDescent="0.5">
      <c r="B208" s="1">
        <v>16</v>
      </c>
      <c r="C208" t="s">
        <v>3</v>
      </c>
      <c r="D208" s="1">
        <v>40</v>
      </c>
      <c r="F208" s="1" t="s">
        <v>156</v>
      </c>
      <c r="G208" s="1" t="s">
        <v>175</v>
      </c>
      <c r="H208" s="1" t="s">
        <v>47</v>
      </c>
      <c r="I208">
        <v>11</v>
      </c>
      <c r="J208">
        <v>7</v>
      </c>
      <c r="K208">
        <v>5</v>
      </c>
      <c r="O208">
        <v>8.4700000000000006</v>
      </c>
      <c r="P208">
        <v>11.08</v>
      </c>
      <c r="S208">
        <v>5</v>
      </c>
      <c r="U208" t="s">
        <v>48</v>
      </c>
      <c r="V208" t="s">
        <v>32</v>
      </c>
      <c r="W208">
        <v>3</v>
      </c>
      <c r="X208">
        <v>4</v>
      </c>
      <c r="Y208" t="s">
        <v>166</v>
      </c>
      <c r="Z208" t="s">
        <v>151</v>
      </c>
      <c r="AA208" t="s">
        <v>180</v>
      </c>
      <c r="AB208">
        <f t="shared" si="9"/>
        <v>2</v>
      </c>
      <c r="AC208">
        <f t="shared" si="10"/>
        <v>2.6099999999999994</v>
      </c>
      <c r="AD208">
        <f t="shared" si="11"/>
        <v>0</v>
      </c>
    </row>
    <row r="209" spans="2:30" x14ac:dyDescent="0.5">
      <c r="B209" s="1">
        <v>17</v>
      </c>
      <c r="C209" t="s">
        <v>3</v>
      </c>
      <c r="D209" s="1">
        <v>45</v>
      </c>
      <c r="F209" s="1" t="s">
        <v>156</v>
      </c>
      <c r="G209" s="1" t="s">
        <v>175</v>
      </c>
      <c r="H209" s="1" t="s">
        <v>102</v>
      </c>
      <c r="I209">
        <v>11</v>
      </c>
      <c r="J209">
        <v>7</v>
      </c>
      <c r="K209">
        <v>5</v>
      </c>
      <c r="O209">
        <v>10.039999999999999</v>
      </c>
      <c r="P209">
        <v>11.41</v>
      </c>
      <c r="S209">
        <v>8</v>
      </c>
      <c r="U209" t="s">
        <v>48</v>
      </c>
      <c r="V209" t="s">
        <v>32</v>
      </c>
      <c r="W209">
        <v>7</v>
      </c>
      <c r="X209">
        <v>6</v>
      </c>
      <c r="Y209" t="s">
        <v>166</v>
      </c>
      <c r="Z209" t="s">
        <v>216</v>
      </c>
      <c r="AA209" t="s">
        <v>181</v>
      </c>
      <c r="AB209">
        <f t="shared" si="9"/>
        <v>1</v>
      </c>
      <c r="AC209">
        <f t="shared" si="10"/>
        <v>1.370000000000001</v>
      </c>
      <c r="AD209">
        <f t="shared" si="11"/>
        <v>0</v>
      </c>
    </row>
    <row r="210" spans="2:30" x14ac:dyDescent="0.5">
      <c r="B210" s="1">
        <v>18</v>
      </c>
      <c r="C210" t="s">
        <v>101</v>
      </c>
      <c r="D210" s="1">
        <v>48</v>
      </c>
      <c r="F210" s="1" t="s">
        <v>156</v>
      </c>
      <c r="G210" s="1" t="s">
        <v>99</v>
      </c>
      <c r="H210" s="1" t="s">
        <v>100</v>
      </c>
      <c r="I210">
        <v>12</v>
      </c>
      <c r="J210">
        <v>8</v>
      </c>
      <c r="K210">
        <v>5</v>
      </c>
      <c r="L210">
        <v>34</v>
      </c>
      <c r="M210">
        <v>0</v>
      </c>
      <c r="Q210">
        <v>15.9</v>
      </c>
      <c r="R210">
        <v>17.53</v>
      </c>
      <c r="S210">
        <v>1</v>
      </c>
      <c r="AB210" t="str">
        <f t="shared" si="9"/>
        <v>No Catch</v>
      </c>
      <c r="AC210">
        <f t="shared" si="10"/>
        <v>0</v>
      </c>
      <c r="AD210">
        <f t="shared" si="11"/>
        <v>1.6300000000000008</v>
      </c>
    </row>
  </sheetData>
  <autoFilter ref="A1:AE210" xr:uid="{F3ABCCA4-B7DA-4353-815A-7FCF91052CE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2239-D2F3-4EC5-BF46-BDF5DE4C8AB3}">
  <dimension ref="A1:BP3"/>
  <sheetViews>
    <sheetView topLeftCell="AT1" workbookViewId="0">
      <selection activeCell="AY21" sqref="AY21"/>
    </sheetView>
  </sheetViews>
  <sheetFormatPr defaultRowHeight="14.35" x14ac:dyDescent="0.5"/>
  <cols>
    <col min="1" max="1" width="9" bestFit="1" customWidth="1"/>
    <col min="2" max="2" width="8" bestFit="1" customWidth="1"/>
    <col min="3" max="3" width="8.87890625" bestFit="1" customWidth="1"/>
    <col min="4" max="4" width="16.46875" bestFit="1" customWidth="1"/>
    <col min="5" max="5" width="18.3515625" bestFit="1" customWidth="1"/>
    <col min="6" max="6" width="18.46875" bestFit="1" customWidth="1"/>
    <col min="7" max="7" width="7.46875" bestFit="1" customWidth="1"/>
    <col min="8" max="8" width="3.8203125" bestFit="1" customWidth="1"/>
    <col min="9" max="9" width="10.41015625" bestFit="1" customWidth="1"/>
    <col min="10" max="10" width="4.703125" bestFit="1" customWidth="1"/>
    <col min="11" max="11" width="8.1171875" bestFit="1" customWidth="1"/>
    <col min="12" max="12" width="11.3515625" bestFit="1" customWidth="1"/>
    <col min="13" max="13" width="6.234375" bestFit="1" customWidth="1"/>
    <col min="14" max="14" width="11.76171875" bestFit="1" customWidth="1"/>
    <col min="15" max="15" width="13.05859375" bestFit="1" customWidth="1"/>
    <col min="16" max="16" width="11.46875" bestFit="1" customWidth="1"/>
    <col min="17" max="17" width="7.17578125" bestFit="1" customWidth="1"/>
    <col min="18" max="18" width="5.1171875" bestFit="1" customWidth="1"/>
    <col min="19" max="19" width="19.87890625" bestFit="1" customWidth="1"/>
    <col min="20" max="20" width="12.17578125" bestFit="1" customWidth="1"/>
    <col min="21" max="21" width="6.29296875" bestFit="1" customWidth="1"/>
    <col min="22" max="22" width="6.234375" style="11" bestFit="1" customWidth="1"/>
    <col min="23" max="23" width="6.87890625" style="9" bestFit="1" customWidth="1"/>
    <col min="24" max="24" width="9.3515625" bestFit="1" customWidth="1"/>
    <col min="25" max="25" width="18.234375" bestFit="1" customWidth="1"/>
    <col min="26" max="26" width="21.05859375" bestFit="1" customWidth="1"/>
    <col min="27" max="27" width="13" bestFit="1" customWidth="1"/>
    <col min="28" max="28" width="23.9375" bestFit="1" customWidth="1"/>
    <col min="29" max="29" width="15.76171875" bestFit="1" customWidth="1"/>
    <col min="30" max="30" width="5.3515625" bestFit="1" customWidth="1"/>
    <col min="31" max="31" width="14.64453125" bestFit="1" customWidth="1"/>
    <col min="32" max="32" width="9.703125" bestFit="1" customWidth="1"/>
    <col min="33" max="33" width="14.29296875" bestFit="1" customWidth="1"/>
    <col min="34" max="34" width="11.52734375" bestFit="1" customWidth="1"/>
    <col min="35" max="35" width="13.76171875" bestFit="1" customWidth="1"/>
    <col min="36" max="36" width="15.87890625" bestFit="1" customWidth="1"/>
    <col min="37" max="37" width="11.87890625" bestFit="1" customWidth="1"/>
    <col min="38" max="38" width="13.8203125" bestFit="1" customWidth="1"/>
    <col min="39" max="39" width="13.1171875" bestFit="1" customWidth="1"/>
    <col min="40" max="40" width="15" bestFit="1" customWidth="1"/>
    <col min="41" max="41" width="12.29296875" bestFit="1" customWidth="1"/>
    <col min="42" max="42" width="11.64453125" bestFit="1" customWidth="1"/>
    <col min="43" max="43" width="12.41015625" bestFit="1" customWidth="1"/>
    <col min="44" max="44" width="14.46875" bestFit="1" customWidth="1"/>
    <col min="45" max="45" width="13.8203125" bestFit="1" customWidth="1"/>
    <col min="46" max="46" width="14.29296875" bestFit="1" customWidth="1"/>
    <col min="47" max="47" width="14.87890625" bestFit="1" customWidth="1"/>
    <col min="48" max="48" width="16.3515625" bestFit="1" customWidth="1"/>
    <col min="49" max="49" width="17.17578125" bestFit="1" customWidth="1"/>
    <col min="50" max="50" width="9.1171875" bestFit="1" customWidth="1"/>
    <col min="51" max="51" width="13.1171875" bestFit="1" customWidth="1"/>
    <col min="52" max="52" width="15.234375" bestFit="1" customWidth="1"/>
    <col min="53" max="53" width="11.234375" bestFit="1" customWidth="1"/>
    <col min="54" max="54" width="13.17578125" bestFit="1" customWidth="1"/>
    <col min="55" max="55" width="13.5859375" bestFit="1" customWidth="1"/>
    <col min="56" max="56" width="14.3515625" bestFit="1" customWidth="1"/>
    <col min="57" max="57" width="11.64453125" bestFit="1" customWidth="1"/>
    <col min="58" max="58" width="12.05859375" bestFit="1" customWidth="1"/>
    <col min="59" max="59" width="12.87890625" bestFit="1" customWidth="1"/>
    <col min="60" max="60" width="13.8203125" bestFit="1" customWidth="1"/>
    <col min="61" max="61" width="14.234375" bestFit="1" customWidth="1"/>
    <col min="62" max="62" width="15" bestFit="1" customWidth="1"/>
    <col min="63" max="63" width="15.29296875" bestFit="1" customWidth="1"/>
    <col min="64" max="64" width="15.703125" bestFit="1" customWidth="1"/>
    <col min="65" max="65" width="16.46875" bestFit="1" customWidth="1"/>
    <col min="66" max="66" width="16.05859375" bestFit="1" customWidth="1"/>
    <col min="67" max="67" width="5.29296875" bestFit="1" customWidth="1"/>
    <col min="68" max="68" width="13.29296875" bestFit="1" customWidth="1"/>
  </cols>
  <sheetData>
    <row r="1" spans="1:68" s="8" customFormat="1" ht="15.7" x14ac:dyDescent="0.55000000000000004">
      <c r="A1" s="8" t="s">
        <v>265</v>
      </c>
      <c r="B1" s="6" t="s">
        <v>266</v>
      </c>
      <c r="C1" s="6" t="s">
        <v>267</v>
      </c>
      <c r="D1" s="6" t="s">
        <v>268</v>
      </c>
      <c r="E1" s="7" t="s">
        <v>269</v>
      </c>
      <c r="F1" s="7" t="s">
        <v>270</v>
      </c>
      <c r="G1" s="6" t="s">
        <v>271</v>
      </c>
      <c r="H1" s="6" t="s">
        <v>272</v>
      </c>
      <c r="I1" s="6" t="s">
        <v>273</v>
      </c>
      <c r="J1" s="6" t="s">
        <v>274</v>
      </c>
      <c r="K1" s="6" t="s">
        <v>275</v>
      </c>
      <c r="L1" s="6" t="s">
        <v>276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10" t="s">
        <v>37</v>
      </c>
      <c r="W1" s="7" t="s">
        <v>38</v>
      </c>
      <c r="X1" s="6" t="s">
        <v>277</v>
      </c>
      <c r="Y1" s="6" t="s">
        <v>278</v>
      </c>
      <c r="Z1" s="6" t="s">
        <v>279</v>
      </c>
      <c r="AA1" s="7" t="s">
        <v>46</v>
      </c>
      <c r="AB1" s="6" t="s">
        <v>280</v>
      </c>
      <c r="AC1" s="6" t="s">
        <v>281</v>
      </c>
      <c r="AD1" s="6" t="s">
        <v>282</v>
      </c>
      <c r="AE1" s="6" t="s">
        <v>283</v>
      </c>
      <c r="AF1" s="6" t="s">
        <v>284</v>
      </c>
      <c r="AG1" s="6" t="s">
        <v>285</v>
      </c>
      <c r="AH1" s="6" t="s">
        <v>249</v>
      </c>
      <c r="AI1" s="6" t="s">
        <v>250</v>
      </c>
      <c r="AJ1" s="6" t="s">
        <v>251</v>
      </c>
      <c r="AK1" s="6" t="s">
        <v>252</v>
      </c>
      <c r="AL1" s="6" t="s">
        <v>253</v>
      </c>
      <c r="AM1" s="6" t="s">
        <v>254</v>
      </c>
      <c r="AN1" s="6" t="s">
        <v>255</v>
      </c>
      <c r="AO1" s="6" t="s">
        <v>256</v>
      </c>
      <c r="AP1" s="6" t="s">
        <v>257</v>
      </c>
      <c r="AQ1" s="6" t="s">
        <v>258</v>
      </c>
      <c r="AR1" s="6" t="s">
        <v>259</v>
      </c>
      <c r="AS1" s="6" t="s">
        <v>260</v>
      </c>
      <c r="AT1" s="6" t="s">
        <v>261</v>
      </c>
      <c r="AU1" s="6" t="s">
        <v>262</v>
      </c>
      <c r="AV1" s="6" t="s">
        <v>263</v>
      </c>
      <c r="AW1" s="6" t="s">
        <v>264</v>
      </c>
      <c r="AX1" s="6" t="s">
        <v>233</v>
      </c>
      <c r="AY1" s="6" t="s">
        <v>234</v>
      </c>
      <c r="AZ1" s="6" t="s">
        <v>235</v>
      </c>
      <c r="BA1" s="6" t="s">
        <v>236</v>
      </c>
      <c r="BB1" s="6" t="s">
        <v>237</v>
      </c>
      <c r="BC1" s="6" t="s">
        <v>238</v>
      </c>
      <c r="BD1" s="6" t="s">
        <v>239</v>
      </c>
      <c r="BE1" s="6" t="s">
        <v>240</v>
      </c>
      <c r="BF1" s="6" t="s">
        <v>241</v>
      </c>
      <c r="BG1" s="6" t="s">
        <v>242</v>
      </c>
      <c r="BH1" s="6" t="s">
        <v>243</v>
      </c>
      <c r="BI1" s="6" t="s">
        <v>244</v>
      </c>
      <c r="BJ1" s="6" t="s">
        <v>245</v>
      </c>
      <c r="BK1" s="6" t="s">
        <v>246</v>
      </c>
      <c r="BL1" s="6" t="s">
        <v>247</v>
      </c>
      <c r="BM1" s="6" t="s">
        <v>248</v>
      </c>
      <c r="BN1" s="6"/>
      <c r="BO1" s="6"/>
      <c r="BP1" s="7"/>
    </row>
    <row r="2" spans="1:68" x14ac:dyDescent="0.5">
      <c r="A2" t="s">
        <v>44</v>
      </c>
      <c r="B2" s="1">
        <v>5</v>
      </c>
      <c r="C2" s="1">
        <f>COUNTIFS(PlayData!$K:$K, $B2)</f>
        <v>209</v>
      </c>
      <c r="D2" s="1">
        <f>SUMIFS(PlayData!$S:$S,PlayData!$K:$K,$B2)</f>
        <v>800.5</v>
      </c>
      <c r="E2" s="4">
        <f>$D2/$C2</f>
        <v>3.8301435406698565</v>
      </c>
      <c r="F2" s="4">
        <f>(I2+AE2+AG2)/(K2+AD2+AF2)</f>
        <v>4.5916666666666668</v>
      </c>
      <c r="G2" s="1">
        <f>COUNTIFS(PlayData!$K:$K, $B2, PlayData!$G:$G, "Pass Attempt", PlayData!$T:$T, "TD")</f>
        <v>2</v>
      </c>
      <c r="H2" s="1">
        <f>COUNTIFS(PlayData!$K:$K, $B2, PlayData!$G:$G, "Pass Attempt", PlayData!$T:$T, "INT")</f>
        <v>0</v>
      </c>
      <c r="I2" s="1">
        <f>SUMIFS(PlayData!$S:$S,PlayData!$K:$K, $B2, PlayData!$G:$G, "Pass Attempt",PlayData!$U:$U, "Catch")</f>
        <v>606</v>
      </c>
      <c r="J2" s="1">
        <f>COUNTIFS(PlayData!$K:$K, $B2, PlayData!$G:$G, "Pass Attempt",PlayData!$U:$U, "Catch")</f>
        <v>62</v>
      </c>
      <c r="K2" s="1">
        <f>COUNTIFS(PlayData!$K:$K, $B2, PlayData!$G:$G, "Pass Attempt")</f>
        <v>90</v>
      </c>
      <c r="L2" s="1">
        <f>SUM($M2:$P2)</f>
        <v>24</v>
      </c>
      <c r="M2" s="1">
        <f>COUNTIFS(PlayData!$K:$K, $B2, PlayData!$V:$V, $M$1)</f>
        <v>12</v>
      </c>
      <c r="N2" s="1">
        <f>COUNTIFS(PlayData!$K:$K, $B2, PlayData!$V:$V, $N$1)</f>
        <v>3</v>
      </c>
      <c r="O2" s="1">
        <f>COUNTIFS(PlayData!$K:$K, $B2, PlayData!$V:$V, $O$1)</f>
        <v>5</v>
      </c>
      <c r="P2" s="1">
        <f>COUNTIFS(PlayData!$K:$K, $B2, PlayData!$V:$V, $P$1)</f>
        <v>4</v>
      </c>
      <c r="Q2" s="1">
        <f>COUNTIFS(PlayData!$K:$K, $B2, PlayData!$V:$V, $Q$1)</f>
        <v>65</v>
      </c>
      <c r="R2" s="1">
        <f>COUNTIFS(PlayData!$K:$K, $B2, PlayData!$G:$G, "Pass Attempt",PlayData!$U:$U, "Drop")</f>
        <v>4</v>
      </c>
      <c r="S2" s="1">
        <f>COUNTIFS(PlayData!$K:$K, $B2, PlayData!$V:$V, "Batted")</f>
        <v>0</v>
      </c>
      <c r="T2" s="1">
        <f>COUNTIFS(PlayData!$K:$K, $B2, PlayData!$V:$V, "ThrowAway")</f>
        <v>1</v>
      </c>
      <c r="U2" s="1">
        <f>COUNTIFS(PlayData!$K:$K, $B2, PlayData!$V:$V, "Spike")</f>
        <v>0</v>
      </c>
      <c r="V2" s="4">
        <f>SUMIFS(PlayData!$W:$W,PlayData!$K:$K, $B2, PlayData!$G:$G, "Pass Attempt")</f>
        <v>743</v>
      </c>
      <c r="W2" s="4">
        <f>$V2/($K2-$S2-$T2-$U2)</f>
        <v>8.3483146067415728</v>
      </c>
      <c r="X2" s="5">
        <f>($J2+$R2)/($K2-$S2-$T2-$U2)</f>
        <v>0.7415730337078652</v>
      </c>
      <c r="Y2" s="4">
        <f>$Z2/$K2</f>
        <v>2.4157777777777785</v>
      </c>
      <c r="Z2" s="1">
        <f>SUMIFS(PlayData!$AC:$AC, PlayData!$K:$K,$B2, PlayData!$G:$G, "Pass Attempt")</f>
        <v>217.42000000000007</v>
      </c>
      <c r="AA2" s="4">
        <f>($Z2+$AB2)/($K2+$AD2)</f>
        <v>2.4280733944954136</v>
      </c>
      <c r="AB2" s="1">
        <f>SUMIFS(PlayData!$AC:$AC, PlayData!$K:$K,$B2, PlayData!$G:$G, "Sack")</f>
        <v>47.24</v>
      </c>
      <c r="AC2" s="1">
        <f>$AB2/$AD2</f>
        <v>2.4863157894736845</v>
      </c>
      <c r="AD2" s="1">
        <f>COUNTIFS(PlayData!$G:$G, "Sack",PlayData!$K:$K,PassingData!$B2)</f>
        <v>19</v>
      </c>
      <c r="AE2" s="1">
        <f>SUMIFS(PlayData!$S:$S, PlayData!$K:$K, $B2, PlayData!$G:$G, "Sack")</f>
        <v>-129</v>
      </c>
      <c r="AF2" s="1">
        <f>COUNTIFS(PlayData!$G:$G, "QB Scramble",PlayData!$K:$K,PassingData!$B2)</f>
        <v>11</v>
      </c>
      <c r="AG2" s="1">
        <f>SUMIFS(PlayData!$S:$S, PlayData!$K:$K, $B2, PlayData!$G:$G, "QB Scramble")</f>
        <v>74</v>
      </c>
      <c r="AH2" s="1">
        <f>COUNTIFS(PlayData!$G:$G, "Pass Attempt", PlayData!$K:$K, $B2, PlayData!$W:$W, "&lt;=0")</f>
        <v>26</v>
      </c>
      <c r="AI2" s="1">
        <f>COUNTIFS(PlayData!$G:$G, "Pass Attempt", PlayData!$K:$K, $B2, PlayData!$W:$W, "&gt;0",PlayData!$W:$W, "&lt;10")</f>
        <v>36</v>
      </c>
      <c r="AJ2" s="1">
        <f>COUNTIFS(PlayData!$G:$G, "Pass Attempt", PlayData!$K:$K, $B2, PlayData!$W:$W, "&gt;=10",PlayData!$W:$W, "&lt;20")</f>
        <v>8</v>
      </c>
      <c r="AK2" s="1">
        <f>COUNTIFS(PlayData!$G:$G, "Pass Attempt", PlayData!$K:$K, $B2, PlayData!$W:$W, "&gt;=20")</f>
        <v>19</v>
      </c>
      <c r="AL2" s="1">
        <f>COUNTIFS(PlayData!$G:$G, "Pass Attempt", PlayData!$K:$K, $B2, PlayData!$W:$W, "&lt;=0", PlayData!$H:$H, "L")</f>
        <v>11</v>
      </c>
      <c r="AM2" s="1">
        <f>COUNTIFS(PlayData!$G:$G, "Pass Attempt", PlayData!$K:$K, $B2, PlayData!$W:$W, "&lt;=0", PlayData!$H:$H, "M")</f>
        <v>4</v>
      </c>
      <c r="AN2" s="1">
        <f>COUNTIFS(PlayData!$G:$G, "Pass Attempt", PlayData!$K:$K, $B2, PlayData!$W:$W, "&lt;=0", PlayData!$H:$H, "R")</f>
        <v>11</v>
      </c>
      <c r="AO2" s="1">
        <f>COUNTIFS(PlayData!$G:$G, "Pass Attempt", PlayData!$K:$K, $B2, PlayData!$W:$W, "&gt;0",PlayData!$W:$W, "&lt;10", PlayData!$H:$H, "L")</f>
        <v>13</v>
      </c>
      <c r="AP2" s="1">
        <f>COUNTIFS(PlayData!$G:$G, "Pass Attempt", PlayData!$K:$K, $B2, PlayData!$W:$W, "&gt;0",PlayData!$W:$W, "&lt;10", PlayData!$H:$H, "M")</f>
        <v>9</v>
      </c>
      <c r="AQ2" s="1">
        <f>COUNTIFS(PlayData!$G:$G, "Pass Attempt", PlayData!$K:$K, $B2, PlayData!$W:$W, "&gt;0",PlayData!$W:$W, "&lt;10", PlayData!$H:$H, "R")</f>
        <v>14</v>
      </c>
      <c r="AR2" s="1">
        <f>COUNTIFS(PlayData!$G:$G, "Pass Attempt", PlayData!$K:$K, $B2, PlayData!$W:$W, "&gt;=10",PlayData!$W:$W, "&lt;20", PlayData!$H:$H, "L")</f>
        <v>3</v>
      </c>
      <c r="AS2" s="1">
        <f>COUNTIFS(PlayData!$G:$G, "Pass Attempt", PlayData!$K:$K, $B2, PlayData!$W:$W, "&gt;=10",PlayData!$W:$W, "&lt;20", PlayData!$H:$H, "M")</f>
        <v>2</v>
      </c>
      <c r="AT2" s="1">
        <f>COUNTIFS(PlayData!$G:$G, "Pass Attempt", PlayData!$K:$K, $B2, PlayData!$W:$W, "&gt;=10",PlayData!$W:$W, "&lt;20", PlayData!$H:$H, "R")</f>
        <v>3</v>
      </c>
      <c r="AU2" s="1">
        <f>COUNTIFS(PlayData!$G:$G, "Pass Attempt", PlayData!$K:$K, $B2, PlayData!$W:$W, "&gt;=20",PlayData!$H:$H, "L")</f>
        <v>5</v>
      </c>
      <c r="AV2" s="1">
        <f>COUNTIFS(PlayData!$G:$G, "Pass Attempt", PlayData!$K:$K, $B2, PlayData!$W:$W, "&gt;=20",PlayData!$H:$H, "M")</f>
        <v>6</v>
      </c>
      <c r="AW2" s="1">
        <f>COUNTIFS(PlayData!$G:$G, "Pass Attempt", PlayData!$K:$K, $B2, PlayData!$W:$W, "&gt;=20",PlayData!$H:$H, "R")</f>
        <v>8</v>
      </c>
      <c r="AX2" s="1">
        <f>COUNTIFS(PlayData!$G:$G,"Pass Attempt",PlayData!$K:$K,$B2,PlayData!$W:$W,"&lt;=0",PlayData!$U:$U,"Catch")</f>
        <v>21</v>
      </c>
      <c r="AY2" s="1">
        <f>COUNTIFS(PlayData!$G:$G, "Pass Attempt", PlayData!$K:$K, $B2, PlayData!$W:$W, "&gt;0",PlayData!$W:$W, "&lt;10",PlayData!$U:$U,"Catch")</f>
        <v>29</v>
      </c>
      <c r="AZ2" s="1">
        <f>COUNTIFS(PlayData!$G:$G, "Pass Attempt", PlayData!$K:$K, $B2, PlayData!$W:$W, "&gt;=10",PlayData!$W:$W, "&lt;20",PlayData!$U:$U,"Catch")</f>
        <v>6</v>
      </c>
      <c r="BA2" s="1">
        <f>COUNTIFS(PlayData!$G:$G, "Pass Attempt", PlayData!$K:$K, $B2, PlayData!$W:$W, "&gt;=20",PlayData!$U:$U,"Catch")</f>
        <v>6</v>
      </c>
      <c r="BB2" s="1">
        <f>COUNTIFS(PlayData!$G:$G, "Pass Attempt", PlayData!$K:$K, $B2, PlayData!$W:$W, "&lt;=0", PlayData!$H:$H, "L", PlayData!$U:$U,"Catch")</f>
        <v>10</v>
      </c>
      <c r="BC2" s="1">
        <f>COUNTIFS(PlayData!$G:$G, "Pass Attempt", PlayData!$K:$K, $B2, PlayData!$W:$W, "&lt;=0", PlayData!$H:$H, "M",PlayData!$U:$U,"Catch")</f>
        <v>2</v>
      </c>
      <c r="BD2" s="1">
        <f>COUNTIFS(PlayData!$G:$G, "Pass Attempt", PlayData!$K:$K, $B2, PlayData!$W:$W, "&lt;=0", PlayData!$H:$H, "R",PlayData!$U:$U,"Catch")</f>
        <v>9</v>
      </c>
      <c r="BE2" s="1">
        <f>COUNTIFS(PlayData!$G:$G, "Pass Attempt", PlayData!$K:$K, $B2, PlayData!$W:$W, "&gt;0",PlayData!$W:$W, "&lt;10", PlayData!$H:$H, "L",PlayData!$U:$U,"Catch")</f>
        <v>10</v>
      </c>
      <c r="BF2" s="1">
        <f>COUNTIFS(PlayData!$G:$G, "Pass Attempt", PlayData!$K:$K, $B2, PlayData!$W:$W, "&gt;0",PlayData!$W:$W, "&lt;10", PlayData!$H:$H, "M",PlayData!$U:$U,"Catch")</f>
        <v>7</v>
      </c>
      <c r="BG2" s="1">
        <f>COUNTIFS(PlayData!$G:$G, "Pass Attempt", PlayData!$K:$K, $B2, PlayData!$W:$W, "&gt;0",PlayData!$W:$W, "&lt;10", PlayData!$H:$H, "R",PlayData!$U:$U,"Catch")</f>
        <v>12</v>
      </c>
      <c r="BH2" s="1">
        <f>COUNTIFS(PlayData!$G:$G, "Pass Attempt", PlayData!$K:$K, $B2, PlayData!$W:$W, "&gt;=10",PlayData!$W:$W, "&lt;20", PlayData!$H:$H, "L",PlayData!$U:$U,"Catch")</f>
        <v>2</v>
      </c>
      <c r="BI2" s="1">
        <f>COUNTIFS(PlayData!$G:$G, "Pass Attempt", PlayData!$K:$K, $B2, PlayData!$W:$W, "&gt;=10",PlayData!$W:$W, "&lt;20", PlayData!$H:$H, "M",PlayData!$U:$U,"Catch")</f>
        <v>1</v>
      </c>
      <c r="BJ2" s="1">
        <f>COUNTIFS(PlayData!$G:$G, "Pass Attempt", PlayData!$K:$K, $B2, PlayData!$W:$W, "&gt;=10",PlayData!$W:$W, "&lt;20", PlayData!$H:$H, "R",PlayData!$U:$U,"Catch")</f>
        <v>3</v>
      </c>
      <c r="BK2" s="1">
        <f>COUNTIFS(PlayData!$G:$G, "Pass Attempt", PlayData!$K:$K, $B2, PlayData!$W:$W, "&gt;=20",PlayData!$H:$H, "L",PlayData!$U:$U,"Catch")</f>
        <v>2</v>
      </c>
      <c r="BL2" s="1">
        <f>COUNTIFS(PlayData!$G:$G, "Pass Attempt", PlayData!$K:$K, $B2, PlayData!$W:$W, "&gt;=20",PlayData!$H:$H, "M",PlayData!$U:$U,"Catch")</f>
        <v>3</v>
      </c>
      <c r="BM2" s="1">
        <f>COUNTIFS(PlayData!$G:$G, "Pass Attempt", PlayData!$K:$K, $B2, PlayData!$W:$W, "&gt;=20",PlayData!$H:$H, "R",PlayData!$U:$U,"Catch")</f>
        <v>1</v>
      </c>
      <c r="BN2" s="1"/>
      <c r="BO2" s="1"/>
      <c r="BP2" s="4"/>
    </row>
    <row r="3" spans="1:68" x14ac:dyDescent="0.5"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2DAE-7F4A-45F1-AECE-84E2A0794F6A}">
  <dimension ref="A1:D33"/>
  <sheetViews>
    <sheetView workbookViewId="0">
      <selection activeCell="E15" sqref="E15"/>
    </sheetView>
  </sheetViews>
  <sheetFormatPr defaultRowHeight="14.35" x14ac:dyDescent="0.5"/>
  <cols>
    <col min="1" max="1" width="17.17578125" bestFit="1" customWidth="1"/>
    <col min="2" max="2" width="13.1171875" customWidth="1"/>
  </cols>
  <sheetData>
    <row r="1" spans="1:4" x14ac:dyDescent="0.5">
      <c r="A1" s="3" t="s">
        <v>286</v>
      </c>
      <c r="B1" s="3" t="s">
        <v>287</v>
      </c>
      <c r="C1" s="3" t="s">
        <v>288</v>
      </c>
      <c r="D1" s="3" t="s">
        <v>289</v>
      </c>
    </row>
    <row r="2" spans="1:4" ht="15.7" x14ac:dyDescent="0.55000000000000004">
      <c r="A2" s="6" t="s">
        <v>249</v>
      </c>
      <c r="B2" s="1">
        <f ca="1">COUNTIFS(PlayData!$G:$G, "Pass Attempt", PlayData!$K:$K, $B3, PlayData!$W:$W, "&lt;=0")</f>
        <v>24</v>
      </c>
      <c r="C2">
        <v>-5</v>
      </c>
      <c r="D2">
        <v>0.5</v>
      </c>
    </row>
    <row r="3" spans="1:4" ht="15.7" x14ac:dyDescent="0.55000000000000004">
      <c r="A3" s="6" t="s">
        <v>250</v>
      </c>
      <c r="B3" s="1">
        <f ca="1">COUNTIFS(PlayData!$G:$G, "Pass Attempt", PlayData!$K:$K, $B3, PlayData!$W:$W, "&gt;0",PlayData!$W:$W, "&lt;10")</f>
        <v>26</v>
      </c>
      <c r="C3">
        <v>5</v>
      </c>
      <c r="D3">
        <v>0.5</v>
      </c>
    </row>
    <row r="4" spans="1:4" ht="15.7" x14ac:dyDescent="0.55000000000000004">
      <c r="A4" s="6" t="s">
        <v>251</v>
      </c>
      <c r="B4" s="1">
        <f ca="1">COUNTIFS(PlayData!$G:$G, "Pass Attempt", PlayData!$K:$K, $B3, PlayData!$W:$W, "&gt;=10",PlayData!$W:$W, "&lt;20")</f>
        <v>5</v>
      </c>
      <c r="C4">
        <v>15</v>
      </c>
      <c r="D4">
        <v>0.5</v>
      </c>
    </row>
    <row r="5" spans="1:4" ht="15.7" x14ac:dyDescent="0.55000000000000004">
      <c r="A5" s="6" t="s">
        <v>252</v>
      </c>
      <c r="B5" s="1">
        <f ca="1">COUNTIFS(PlayData!$G:$G, "Pass Attempt", PlayData!$K:$K, $B3, PlayData!$W:$W, "&gt;=20")</f>
        <v>15</v>
      </c>
      <c r="C5">
        <v>25</v>
      </c>
      <c r="D5">
        <v>0.5</v>
      </c>
    </row>
    <row r="6" spans="1:4" ht="15.7" x14ac:dyDescent="0.55000000000000004">
      <c r="A6" s="6" t="s">
        <v>253</v>
      </c>
      <c r="B6" s="1">
        <f ca="1">COUNTIFS(PlayData!$G:$G, "Pass Attempt", PlayData!$K:$K, $B3, PlayData!$W:$W, "&lt;=0", PlayData!$H:$H, "L")</f>
        <v>9</v>
      </c>
      <c r="C6">
        <v>0</v>
      </c>
      <c r="D6">
        <v>-5</v>
      </c>
    </row>
    <row r="7" spans="1:4" ht="15.7" x14ac:dyDescent="0.55000000000000004">
      <c r="A7" s="6" t="s">
        <v>254</v>
      </c>
      <c r="B7" s="1">
        <f ca="1">COUNTIFS(PlayData!$G:$G, "Pass Attempt", PlayData!$K:$K, $B3, PlayData!$W:$W, "&lt;=0", PlayData!$H:$H, "M")</f>
        <v>4</v>
      </c>
      <c r="C7">
        <v>0.5</v>
      </c>
      <c r="D7">
        <v>-5</v>
      </c>
    </row>
    <row r="8" spans="1:4" ht="15.7" x14ac:dyDescent="0.55000000000000004">
      <c r="A8" s="6" t="s">
        <v>255</v>
      </c>
      <c r="B8" s="1">
        <f ca="1">COUNTIFS(PlayData!$G:$G, "Pass Attempt", PlayData!$K:$K, $B3, PlayData!$W:$W, "&lt;=0", PlayData!$H:$H, "R")</f>
        <v>11</v>
      </c>
      <c r="C8">
        <v>1</v>
      </c>
      <c r="D8">
        <v>-5</v>
      </c>
    </row>
    <row r="9" spans="1:4" ht="15.7" x14ac:dyDescent="0.55000000000000004">
      <c r="A9" s="6" t="s">
        <v>256</v>
      </c>
      <c r="B9" s="1">
        <f ca="1">COUNTIFS(PlayData!$G:$G, "Pass Attempt", PlayData!$K:$K, $B3, PlayData!$W:$W, "&gt;0",PlayData!$W:$W, "&lt;10", PlayData!$H:$H, "L")</f>
        <v>9</v>
      </c>
      <c r="C9">
        <v>0</v>
      </c>
      <c r="D9">
        <v>5</v>
      </c>
    </row>
    <row r="10" spans="1:4" ht="15.7" x14ac:dyDescent="0.55000000000000004">
      <c r="A10" s="6" t="s">
        <v>257</v>
      </c>
      <c r="B10" s="1">
        <f ca="1">COUNTIFS(PlayData!$G:$G, "Pass Attempt", PlayData!$K:$K, $B3, PlayData!$W:$W, "&gt;0",PlayData!$W:$W, "&lt;10", PlayData!$H:$H, "M")</f>
        <v>8</v>
      </c>
      <c r="C10">
        <v>0.5</v>
      </c>
      <c r="D10">
        <v>5</v>
      </c>
    </row>
    <row r="11" spans="1:4" ht="15.7" x14ac:dyDescent="0.55000000000000004">
      <c r="A11" s="6" t="s">
        <v>258</v>
      </c>
      <c r="B11" s="1">
        <f ca="1">COUNTIFS(PlayData!$G:$G, "Pass Attempt", PlayData!$K:$K, $B3, PlayData!$W:$W, "&gt;0",PlayData!$W:$W, "&lt;10", PlayData!$H:$H, "R")</f>
        <v>9</v>
      </c>
      <c r="C11">
        <v>1</v>
      </c>
      <c r="D11">
        <v>5</v>
      </c>
    </row>
    <row r="12" spans="1:4" ht="15.7" x14ac:dyDescent="0.55000000000000004">
      <c r="A12" s="6" t="s">
        <v>259</v>
      </c>
      <c r="B12" s="1">
        <f ca="1">COUNTIFS(PlayData!$G:$G, "Pass Attempt", PlayData!$K:$K, $B3, PlayData!$W:$W, "&gt;=10",PlayData!$W:$W, "&lt;20", PlayData!$H:$H, "L")</f>
        <v>2</v>
      </c>
      <c r="C12">
        <v>0</v>
      </c>
      <c r="D12">
        <v>15</v>
      </c>
    </row>
    <row r="13" spans="1:4" ht="15.7" x14ac:dyDescent="0.55000000000000004">
      <c r="A13" s="6" t="s">
        <v>260</v>
      </c>
      <c r="B13" s="1">
        <f ca="1">COUNTIFS(PlayData!$G:$G, "Pass Attempt", PlayData!$K:$K, $B3, PlayData!$W:$W, "&gt;=10",PlayData!$W:$W, "&lt;20", PlayData!$H:$H, "M")</f>
        <v>1</v>
      </c>
      <c r="C13">
        <v>0.5</v>
      </c>
      <c r="D13">
        <v>15</v>
      </c>
    </row>
    <row r="14" spans="1:4" ht="15.7" x14ac:dyDescent="0.55000000000000004">
      <c r="A14" s="6" t="s">
        <v>261</v>
      </c>
      <c r="B14" s="1">
        <f ca="1">COUNTIFS(PlayData!$G:$G, "Pass Attempt", PlayData!$K:$K, $B3, PlayData!$W:$W, "&gt;=10",PlayData!$W:$W, "&lt;20", PlayData!$H:$H, "R")</f>
        <v>2</v>
      </c>
      <c r="C14">
        <v>1</v>
      </c>
      <c r="D14">
        <v>15</v>
      </c>
    </row>
    <row r="15" spans="1:4" ht="15.7" x14ac:dyDescent="0.55000000000000004">
      <c r="A15" s="6" t="s">
        <v>262</v>
      </c>
      <c r="B15" s="1">
        <f ca="1">COUNTIFS(PlayData!$G:$G, "Pass Attempt", PlayData!$K:$K, $B3, PlayData!$W:$W, "&gt;=20",PlayData!$H:$H, "L")</f>
        <v>3</v>
      </c>
      <c r="C15">
        <v>0</v>
      </c>
      <c r="D15">
        <v>25</v>
      </c>
    </row>
    <row r="16" spans="1:4" ht="15.7" x14ac:dyDescent="0.55000000000000004">
      <c r="A16" s="6" t="s">
        <v>263</v>
      </c>
      <c r="B16" s="1">
        <f ca="1">COUNTIFS(PlayData!$G:$G, "Pass Attempt", PlayData!$K:$K, $B3, PlayData!$W:$W, "&gt;=20",PlayData!$H:$H, "M")</f>
        <v>5</v>
      </c>
      <c r="C16">
        <v>0.5</v>
      </c>
      <c r="D16">
        <v>25</v>
      </c>
    </row>
    <row r="17" spans="1:4" ht="15.7" x14ac:dyDescent="0.55000000000000004">
      <c r="A17" s="6" t="s">
        <v>264</v>
      </c>
      <c r="B17" s="1">
        <f ca="1">COUNTIFS(PlayData!$G:$G, "Pass Attempt", PlayData!$K:$K, $B3, PlayData!$W:$W, "&gt;=20",PlayData!$H:$H, "R")</f>
        <v>7</v>
      </c>
      <c r="C17">
        <v>1</v>
      </c>
      <c r="D17">
        <v>25</v>
      </c>
    </row>
    <row r="18" spans="1:4" ht="15.7" x14ac:dyDescent="0.55000000000000004">
      <c r="A18" s="6" t="s">
        <v>233</v>
      </c>
      <c r="B18" s="1">
        <f ca="1">COUNTIFS(PlayData!$G:$G,"Pass Attempt",PlayData!$K:$K,$B3,PlayData!$W:$W,"&lt;=0",PlayData!$U:$U,"Catch")</f>
        <v>20</v>
      </c>
      <c r="C18">
        <v>-5</v>
      </c>
      <c r="D18">
        <v>0.5</v>
      </c>
    </row>
    <row r="19" spans="1:4" ht="15.7" x14ac:dyDescent="0.55000000000000004">
      <c r="A19" s="6" t="s">
        <v>234</v>
      </c>
      <c r="B19" s="1">
        <f ca="1">COUNTIFS(PlayData!$G:$G, "Pass Attempt", PlayData!$K:$K, $B3, PlayData!$W:$W, "&gt;0",PlayData!$W:$W, "&lt;10",PlayData!$U:$U,"Catch")</f>
        <v>20</v>
      </c>
      <c r="C19">
        <v>5</v>
      </c>
      <c r="D19">
        <v>0.5</v>
      </c>
    </row>
    <row r="20" spans="1:4" ht="15.7" x14ac:dyDescent="0.55000000000000004">
      <c r="A20" s="6" t="s">
        <v>235</v>
      </c>
      <c r="B20" s="1">
        <f ca="1">COUNTIFS(PlayData!$G:$G, "Pass Attempt", PlayData!$K:$K, $B3, PlayData!$W:$W, "&gt;=10",PlayData!$W:$W, "&lt;20",PlayData!$U:$U,"Catch")</f>
        <v>4</v>
      </c>
      <c r="C20">
        <v>15</v>
      </c>
      <c r="D20">
        <v>0.5</v>
      </c>
    </row>
    <row r="21" spans="1:4" ht="15.7" x14ac:dyDescent="0.55000000000000004">
      <c r="A21" s="6" t="s">
        <v>236</v>
      </c>
      <c r="B21" s="1">
        <f ca="1">COUNTIFS(PlayData!$G:$G, "Pass Attempt", PlayData!$K:$K, $B3, PlayData!$W:$W, "&gt;=20",PlayData!$U:$U,"Catch")</f>
        <v>5</v>
      </c>
      <c r="C21">
        <v>25</v>
      </c>
      <c r="D21">
        <v>0.5</v>
      </c>
    </row>
    <row r="22" spans="1:4" ht="15.7" x14ac:dyDescent="0.55000000000000004">
      <c r="A22" s="6" t="s">
        <v>237</v>
      </c>
      <c r="B22" s="1">
        <f ca="1">COUNTIFS(PlayData!$G:$G, "Pass Attempt", PlayData!$K:$K, $B3, PlayData!$W:$W, "&lt;=0", PlayData!$H:$H, "L", PlayData!$U:$U,"Catch")</f>
        <v>9</v>
      </c>
      <c r="C22">
        <v>0</v>
      </c>
      <c r="D22">
        <v>-5</v>
      </c>
    </row>
    <row r="23" spans="1:4" ht="15.7" x14ac:dyDescent="0.55000000000000004">
      <c r="A23" s="6" t="s">
        <v>238</v>
      </c>
      <c r="B23" s="1">
        <f ca="1">COUNTIFS(PlayData!$G:$G, "Pass Attempt", PlayData!$K:$K, $B3, PlayData!$W:$W, "&lt;=0", PlayData!$H:$H, "M",PlayData!$U:$U,"Catch")</f>
        <v>2</v>
      </c>
      <c r="C23">
        <v>0.5</v>
      </c>
      <c r="D23">
        <v>-5</v>
      </c>
    </row>
    <row r="24" spans="1:4" ht="15.7" x14ac:dyDescent="0.55000000000000004">
      <c r="A24" s="6" t="s">
        <v>239</v>
      </c>
      <c r="B24" s="1">
        <f ca="1">COUNTIFS(PlayData!$G:$G, "Pass Attempt", PlayData!$K:$K, $B3, PlayData!$W:$W, "&lt;=0", PlayData!$H:$H, "R",PlayData!$U:$U,"Catch")</f>
        <v>9</v>
      </c>
      <c r="C24">
        <v>1</v>
      </c>
      <c r="D24">
        <v>-5</v>
      </c>
    </row>
    <row r="25" spans="1:4" ht="15.7" x14ac:dyDescent="0.55000000000000004">
      <c r="A25" s="6" t="s">
        <v>240</v>
      </c>
      <c r="B25" s="1">
        <f ca="1">COUNTIFS(PlayData!$G:$G, "Pass Attempt", PlayData!$K:$K, $B3, PlayData!$W:$W, "&gt;0",PlayData!$W:$W, "&lt;10", PlayData!$H:$H, "L",PlayData!$U:$U,"Catch")</f>
        <v>6</v>
      </c>
      <c r="C25">
        <v>0</v>
      </c>
      <c r="D25">
        <v>5</v>
      </c>
    </row>
    <row r="26" spans="1:4" ht="15.7" x14ac:dyDescent="0.55000000000000004">
      <c r="A26" s="6" t="s">
        <v>241</v>
      </c>
      <c r="B26" s="1">
        <f ca="1">COUNTIFS(PlayData!$G:$G, "Pass Attempt", PlayData!$K:$K, $B3, PlayData!$W:$W, "&gt;0",PlayData!$W:$W, "&lt;10", PlayData!$H:$H, "M",PlayData!$U:$U,"Catch")</f>
        <v>6</v>
      </c>
      <c r="C26">
        <v>0.5</v>
      </c>
      <c r="D26">
        <v>5</v>
      </c>
    </row>
    <row r="27" spans="1:4" ht="15.7" x14ac:dyDescent="0.55000000000000004">
      <c r="A27" s="6" t="s">
        <v>242</v>
      </c>
      <c r="B27" s="1">
        <f ca="1">COUNTIFS(PlayData!$G:$G, "Pass Attempt", PlayData!$K:$K, $B3, PlayData!$W:$W, "&gt;0",PlayData!$W:$W, "&lt;10", PlayData!$H:$H, "R",PlayData!$U:$U,"Catch")</f>
        <v>8</v>
      </c>
      <c r="C27">
        <v>1</v>
      </c>
      <c r="D27">
        <v>5</v>
      </c>
    </row>
    <row r="28" spans="1:4" ht="15.7" x14ac:dyDescent="0.55000000000000004">
      <c r="A28" s="6" t="s">
        <v>243</v>
      </c>
      <c r="B28" s="1">
        <f ca="1">COUNTIFS(PlayData!$G:$G, "Pass Attempt", PlayData!$K:$K, $B3, PlayData!$W:$W, "&gt;=10",PlayData!$W:$W, "&lt;20", PlayData!$H:$H, "L",PlayData!$U:$U,"Catch")</f>
        <v>2</v>
      </c>
      <c r="C28">
        <v>0</v>
      </c>
      <c r="D28">
        <v>15</v>
      </c>
    </row>
    <row r="29" spans="1:4" ht="15.7" x14ac:dyDescent="0.55000000000000004">
      <c r="A29" s="6" t="s">
        <v>244</v>
      </c>
      <c r="B29" s="1">
        <f ca="1">COUNTIFS(PlayData!$G:$G, "Pass Attempt", PlayData!$K:$K, $B3, PlayData!$W:$W, "&gt;=10",PlayData!$W:$W, "&lt;20", PlayData!$H:$H, "M",PlayData!$U:$U,"Catch")</f>
        <v>0</v>
      </c>
      <c r="C29">
        <v>0.5</v>
      </c>
      <c r="D29">
        <v>15</v>
      </c>
    </row>
    <row r="30" spans="1:4" ht="15.7" x14ac:dyDescent="0.55000000000000004">
      <c r="A30" s="6" t="s">
        <v>245</v>
      </c>
      <c r="B30" s="1">
        <f ca="1">COUNTIFS(PlayData!$G:$G, "Pass Attempt", PlayData!$K:$K, $B3, PlayData!$W:$W, "&gt;=10",PlayData!$W:$W, "&lt;20", PlayData!$H:$H, "R",PlayData!$U:$U,"Catch")</f>
        <v>2</v>
      </c>
      <c r="C30">
        <v>1</v>
      </c>
      <c r="D30">
        <v>15</v>
      </c>
    </row>
    <row r="31" spans="1:4" ht="15.7" x14ac:dyDescent="0.55000000000000004">
      <c r="A31" s="6" t="s">
        <v>246</v>
      </c>
      <c r="B31" s="1">
        <f ca="1">COUNTIFS(PlayData!$G:$G, "Pass Attempt", PlayData!$K:$K, $B3, PlayData!$W:$W, "&gt;=20",PlayData!$H:$H, "L",PlayData!$U:$U,"Catch")</f>
        <v>1</v>
      </c>
      <c r="C31">
        <v>0</v>
      </c>
      <c r="D31">
        <v>25</v>
      </c>
    </row>
    <row r="32" spans="1:4" ht="15.7" x14ac:dyDescent="0.55000000000000004">
      <c r="A32" s="6" t="s">
        <v>247</v>
      </c>
      <c r="B32" s="1">
        <f ca="1">COUNTIFS(PlayData!$G:$G, "Pass Attempt", PlayData!$K:$K, $B3, PlayData!$W:$W, "&gt;=20",PlayData!$H:$H, "M",PlayData!$U:$U,"Catch")</f>
        <v>3</v>
      </c>
      <c r="C32">
        <v>0.5</v>
      </c>
      <c r="D32">
        <v>25</v>
      </c>
    </row>
    <row r="33" spans="1:4" ht="15.7" x14ac:dyDescent="0.55000000000000004">
      <c r="A33" s="6" t="s">
        <v>248</v>
      </c>
      <c r="B33" s="1">
        <f ca="1">COUNTIFS(PlayData!$G:$G, "Pass Attempt", PlayData!$K:$K, $B3, PlayData!$W:$W, "&gt;=20",PlayData!$H:$H, "R",PlayData!$U:$U,"Catch")</f>
        <v>1</v>
      </c>
      <c r="C33">
        <v>1</v>
      </c>
      <c r="D3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7095-D42B-4EAD-9CE2-DA39394453CB}">
  <dimension ref="A1:S7"/>
  <sheetViews>
    <sheetView workbookViewId="0">
      <selection activeCell="J15" sqref="J15"/>
    </sheetView>
  </sheetViews>
  <sheetFormatPr defaultRowHeight="14.35" x14ac:dyDescent="0.5"/>
  <cols>
    <col min="5" max="5" width="10.17578125" bestFit="1" customWidth="1"/>
    <col min="8" max="8" width="11.5859375" bestFit="1" customWidth="1"/>
    <col min="9" max="9" width="12.64453125" bestFit="1" customWidth="1"/>
    <col min="10" max="10" width="13.703125" bestFit="1" customWidth="1"/>
    <col min="13" max="13" width="20.1171875" bestFit="1" customWidth="1"/>
    <col min="14" max="14" width="19.05859375" bestFit="1" customWidth="1"/>
    <col min="15" max="15" width="23.1171875" bestFit="1" customWidth="1"/>
    <col min="16" max="16" width="16.52734375" bestFit="1" customWidth="1"/>
    <col min="17" max="17" width="15.29296875" bestFit="1" customWidth="1"/>
    <col min="18" max="18" width="12.703125" bestFit="1" customWidth="1"/>
    <col min="19" max="19" width="11.64453125" bestFit="1" customWidth="1"/>
  </cols>
  <sheetData>
    <row r="1" spans="1:19" x14ac:dyDescent="0.5">
      <c r="A1" t="s">
        <v>49</v>
      </c>
      <c r="B1" t="s">
        <v>50</v>
      </c>
      <c r="C1" t="s">
        <v>27</v>
      </c>
      <c r="D1" t="s">
        <v>26</v>
      </c>
      <c r="E1" s="9" t="s">
        <v>51</v>
      </c>
      <c r="F1" t="s">
        <v>22</v>
      </c>
      <c r="G1" t="s">
        <v>52</v>
      </c>
      <c r="H1" t="s">
        <v>53</v>
      </c>
      <c r="I1" t="s">
        <v>60</v>
      </c>
      <c r="J1" t="s">
        <v>61</v>
      </c>
      <c r="K1" t="s">
        <v>54</v>
      </c>
      <c r="L1" t="s">
        <v>24</v>
      </c>
      <c r="M1" t="s">
        <v>55</v>
      </c>
      <c r="N1" t="s">
        <v>56</v>
      </c>
      <c r="O1" t="s">
        <v>121</v>
      </c>
      <c r="P1" t="s">
        <v>23</v>
      </c>
      <c r="Q1" t="s">
        <v>57</v>
      </c>
      <c r="R1" t="s">
        <v>58</v>
      </c>
      <c r="S1" t="s">
        <v>59</v>
      </c>
    </row>
    <row r="2" spans="1:19" x14ac:dyDescent="0.5">
      <c r="A2">
        <v>34</v>
      </c>
      <c r="B2" t="s">
        <v>120</v>
      </c>
      <c r="C2">
        <f>COUNTIFS(PlayData!$L:$L,RunningData!$A2,PlayData!$G:$G,"Run")</f>
        <v>57</v>
      </c>
      <c r="D2">
        <f>SUMIFS(PlayData!$S:$S,PlayData!$L:$L,$A2, PlayData!$G:$G, "Run")</f>
        <v>164.5</v>
      </c>
      <c r="E2" s="9">
        <f t="shared" ref="E2:E7" si="0">$D2/$C2</f>
        <v>2.8859649122807016</v>
      </c>
      <c r="F2">
        <f>COUNTIFS(PlayData!L:L, $A2,PlayData!$G:$G, "Run",PlayData!$T:$T, "TD")</f>
        <v>0</v>
      </c>
      <c r="G2">
        <f>COUNTIFS(PlayData!$L:$L, $A2,PlayData!$G:$G, "Run",PlayData!$T:$T, "Fumble")</f>
        <v>1</v>
      </c>
      <c r="H2">
        <f>COUNTIFS(PlayData!$G:$G,"Run", PlayData!$L:$L, $A2, PlayData!$S:$S, "&lt;0")</f>
        <v>13</v>
      </c>
      <c r="I2">
        <f>COUNTIFS(PlayData!$G:$G,"Run", PlayData!$L:$L, $A2, PlayData!$S:$S, "&gt;=0", PlayData!$S:$S, "&lt;=4")</f>
        <v>27</v>
      </c>
      <c r="J2">
        <f>COUNTIFS(PlayData!$G:$G,"Run", PlayData!$L:$L, $A2, PlayData!$S:$S, "&gt;4", PlayData!$S:$S, "&lt;=10")</f>
        <v>13</v>
      </c>
      <c r="K2">
        <f>COUNTIFS(PlayData!$G:$G,"Run",PlayData!$L:$L,$A2,PlayData!$S:$S,"&gt;10")</f>
        <v>4</v>
      </c>
      <c r="L2">
        <f>SUMIFS(PlayData!$N:$N,PlayData!$L:$L,$A2, PlayData!$G:$G, "Run")</f>
        <v>0</v>
      </c>
      <c r="M2">
        <f>SUMIFS(PlayData!$AD:$AD,PlayData!$G:$G, "Run",PlayData!$L:$L, $A2)</f>
        <v>91.669999999999959</v>
      </c>
      <c r="N2">
        <f t="shared" ref="N2:N7" si="1">$M2/$C2</f>
        <v>1.6082456140350869</v>
      </c>
      <c r="O2">
        <f>$P2/$C2</f>
        <v>1.1754385964912282</v>
      </c>
      <c r="P2">
        <f>SUMIFS(PlayData!$M:$M, PlayData!$L:$L, $A2, PlayData!$G:$G, "Run")</f>
        <v>67</v>
      </c>
      <c r="Q2">
        <f t="shared" ref="Q2:Q7" si="2">$D2-$P2</f>
        <v>97.5</v>
      </c>
      <c r="R2">
        <f>SUMIFS(PlayData!$J:$J, PlayData!$L:$L, $A2, PlayData!$G:$G, "Run")</f>
        <v>382</v>
      </c>
      <c r="S2">
        <f t="shared" ref="S2:S7" si="3">$R2/$C2</f>
        <v>6.7017543859649127</v>
      </c>
    </row>
    <row r="3" spans="1:19" x14ac:dyDescent="0.5">
      <c r="A3">
        <v>1</v>
      </c>
      <c r="B3" t="s">
        <v>143</v>
      </c>
      <c r="C3">
        <f>COUNTIFS(PlayData!$L:$L,RunningData!$A3,PlayData!$G:$G,"Run")</f>
        <v>25</v>
      </c>
      <c r="D3">
        <f>SUMIFS(PlayData!$S:$S,PlayData!$L:$L,$A3, PlayData!$G:$G, "Run")</f>
        <v>78</v>
      </c>
      <c r="E3" s="9">
        <f t="shared" si="0"/>
        <v>3.12</v>
      </c>
      <c r="F3">
        <f>COUNTIFS(PlayData!L:L, $A3,PlayData!$G:$G, "Run",PlayData!$T:$T, "TD")</f>
        <v>0</v>
      </c>
      <c r="G3">
        <f>COUNTIFS(PlayData!L:L, $A3,PlayData!$G:$G, "Run",PlayData!$T:$T, "Fumble")</f>
        <v>0</v>
      </c>
      <c r="H3">
        <f>COUNTIFS(PlayData!$G:$G,"Run", PlayData!$L:$L, $A3, PlayData!$S:$S, "&lt;0")</f>
        <v>3</v>
      </c>
      <c r="I3">
        <f>COUNTIFS(PlayData!$G:$G,"Run", PlayData!$L:$L, $A3, PlayData!$S:$S, "&gt;=0", PlayData!$S:$S, "&lt;=4")</f>
        <v>14</v>
      </c>
      <c r="J3">
        <f>COUNTIFS(PlayData!$G:$G,"Run", PlayData!$L:$L, $A3, PlayData!$S:$S, "&gt;4", PlayData!$S:$S, "&lt;=10")</f>
        <v>6</v>
      </c>
      <c r="K3">
        <f>COUNTIFS(PlayData!$G:$G,"Run",PlayData!$L:$L,$A3,PlayData!$S:$S,"&gt;10")</f>
        <v>2</v>
      </c>
      <c r="L3">
        <f>SUMIFS(PlayData!$N:$N,PlayData!$L:$L,$A3, PlayData!$G:$G, "Run")</f>
        <v>0</v>
      </c>
      <c r="M3">
        <f>SUMIFS(PlayData!$AD:$AD,PlayData!$G:$G, "Run",PlayData!$L:$L, $A3)</f>
        <v>38.920000000000016</v>
      </c>
      <c r="N3">
        <f t="shared" si="1"/>
        <v>1.5568000000000006</v>
      </c>
      <c r="O3">
        <f t="shared" ref="O3:O7" si="4">$P3/$C3</f>
        <v>0.98</v>
      </c>
      <c r="P3">
        <f>SUMIFS(PlayData!$M:$M, PlayData!$L:$L, $A3, PlayData!$G:$G, "Run")</f>
        <v>24.5</v>
      </c>
      <c r="Q3">
        <f t="shared" si="2"/>
        <v>53.5</v>
      </c>
      <c r="R3">
        <f>SUMIFS(PlayData!$J:$J, PlayData!$L:$L, $A3, PlayData!$G:$G, "Run")</f>
        <v>161</v>
      </c>
      <c r="S3">
        <f t="shared" si="3"/>
        <v>6.44</v>
      </c>
    </row>
    <row r="4" spans="1:19" x14ac:dyDescent="0.5">
      <c r="A4">
        <v>4</v>
      </c>
      <c r="C4">
        <f>COUNTIFS(PlayData!$L:$L,RunningData!$A4,PlayData!$G:$G,"Run")</f>
        <v>0</v>
      </c>
      <c r="D4">
        <f>SUMIFS(PlayData!$S:$S,PlayData!$L:$L,$A4, PlayData!$G:$G, "Run")</f>
        <v>0</v>
      </c>
      <c r="E4" s="9" t="e">
        <f t="shared" si="0"/>
        <v>#DIV/0!</v>
      </c>
      <c r="F4">
        <f>COUNTIFS(PlayData!L:L, $A4,PlayData!$G:$G, "Run",PlayData!$T:$T, "TD")</f>
        <v>0</v>
      </c>
      <c r="G4">
        <f>COUNTIFS(PlayData!L:L, $A4,PlayData!$G:$G, "Run",PlayData!$T:$T, "Fumble")</f>
        <v>0</v>
      </c>
      <c r="H4">
        <f>COUNTIFS(PlayData!$G:$G,"Run", PlayData!$L:$L, $A4, PlayData!$S:$S, "&lt;0")</f>
        <v>0</v>
      </c>
      <c r="I4">
        <f>COUNTIFS(PlayData!$G:$G,"Run", PlayData!$L:$L, $A4, PlayData!$S:$S, "&gt;=0", PlayData!$S:$S, "&lt;=4")</f>
        <v>0</v>
      </c>
      <c r="J4">
        <f>COUNTIFS(PlayData!$G:$G,"Run", PlayData!$L:$L, $A4, PlayData!$S:$S, "&gt;4", PlayData!$S:$S, "&lt;=10")</f>
        <v>0</v>
      </c>
      <c r="K4">
        <f>COUNTIFS(PlayData!$G:$G,"Run",PlayData!$L:$L,$A4,PlayData!$S:$S,"&gt;10")</f>
        <v>0</v>
      </c>
      <c r="L4">
        <f>SUMIFS(PlayData!$N:$N,PlayData!$L:$L,$A4, PlayData!$G:$G, "Run")</f>
        <v>0</v>
      </c>
      <c r="M4">
        <f>SUMIFS(PlayData!$AD:$AD,PlayData!$G:$G, "Run",PlayData!$L:$L, $A4)</f>
        <v>0</v>
      </c>
      <c r="N4" t="e">
        <f t="shared" si="1"/>
        <v>#DIV/0!</v>
      </c>
      <c r="O4" t="e">
        <f t="shared" si="4"/>
        <v>#DIV/0!</v>
      </c>
      <c r="P4">
        <f>SUMIFS(PlayData!$M:$M, PlayData!$L:$L, $A4, PlayData!$G:$G, "Run")</f>
        <v>0</v>
      </c>
      <c r="Q4">
        <f t="shared" si="2"/>
        <v>0</v>
      </c>
      <c r="R4">
        <f>SUMIFS(PlayData!$J:$J, PlayData!$L:$L, $A4, PlayData!$G:$G, "Run")</f>
        <v>0</v>
      </c>
      <c r="S4" t="e">
        <f t="shared" si="3"/>
        <v>#DIV/0!</v>
      </c>
    </row>
    <row r="5" spans="1:19" x14ac:dyDescent="0.5">
      <c r="A5">
        <v>5</v>
      </c>
      <c r="B5" t="s">
        <v>44</v>
      </c>
      <c r="C5">
        <f>COUNTIFS(PlayData!$L:$L,RunningData!$A5,PlayData!$G:$G,"Run")</f>
        <v>2</v>
      </c>
      <c r="D5">
        <f>SUMIFS(PlayData!$S:$S,PlayData!$L:$L,$A5, PlayData!$G:$G, "Run")</f>
        <v>1</v>
      </c>
      <c r="E5" s="9">
        <f t="shared" si="0"/>
        <v>0.5</v>
      </c>
      <c r="F5">
        <f>COUNTIFS(PlayData!L:L, $A5,PlayData!$G:$G, "Run",PlayData!$T:$T, "TD")</f>
        <v>0</v>
      </c>
      <c r="G5">
        <f>COUNTIFS(PlayData!L:L, $A5,PlayData!$G:$G, "Run",PlayData!$T:$T, "Fumble")</f>
        <v>0</v>
      </c>
      <c r="H5">
        <f>COUNTIFS(PlayData!$G:$G,"Run", PlayData!$L:$L, $A5, PlayData!$S:$S, "&lt;0")</f>
        <v>1</v>
      </c>
      <c r="I5">
        <f>COUNTIFS(PlayData!$G:$G,"Run", PlayData!$L:$L, $A5, PlayData!$S:$S, "&gt;=0", PlayData!$S:$S, "&lt;=4")</f>
        <v>1</v>
      </c>
      <c r="J5">
        <f>COUNTIFS(PlayData!$G:$G,"Run", PlayData!$L:$L, $A5, PlayData!$S:$S, "&gt;4", PlayData!$S:$S, "&lt;=10")</f>
        <v>0</v>
      </c>
      <c r="K5">
        <f>COUNTIFS(PlayData!$G:$G,"Run",PlayData!$L:$L,$A5,PlayData!$S:$S,"&gt;10")</f>
        <v>0</v>
      </c>
      <c r="L5">
        <f>SUMIFS(PlayData!$N:$N,PlayData!$L:$L,$A5, PlayData!$G:$G, "Run")</f>
        <v>0</v>
      </c>
      <c r="M5">
        <f>SUMIFS(PlayData!$AD:$AD,PlayData!$G:$G, "Run",PlayData!$L:$L, $A5)</f>
        <v>4.7000000000000011</v>
      </c>
      <c r="N5">
        <f t="shared" si="1"/>
        <v>2.3500000000000005</v>
      </c>
      <c r="O5">
        <f t="shared" si="4"/>
        <v>-0.5</v>
      </c>
      <c r="P5">
        <f>SUMIFS(PlayData!$M:$M, PlayData!$L:$L, $A5, PlayData!$G:$G, "Run")</f>
        <v>-1</v>
      </c>
      <c r="Q5">
        <f t="shared" si="2"/>
        <v>2</v>
      </c>
      <c r="R5">
        <f>SUMIFS(PlayData!$J:$J, PlayData!$L:$L, $A5, PlayData!$G:$G, "Run")</f>
        <v>13</v>
      </c>
      <c r="S5">
        <f t="shared" si="3"/>
        <v>6.5</v>
      </c>
    </row>
    <row r="6" spans="1:19" x14ac:dyDescent="0.5">
      <c r="C6">
        <f>COUNTIFS(PlayData!$L:$L,RunningData!$A6,PlayData!$G:$G,"Run")</f>
        <v>0</v>
      </c>
      <c r="D6">
        <f>SUMIFS(PlayData!$S:$S,PlayData!$L:$L,$A6, PlayData!$G:$G, "Run")</f>
        <v>0</v>
      </c>
      <c r="E6" s="9" t="e">
        <f t="shared" si="0"/>
        <v>#DIV/0!</v>
      </c>
      <c r="F6">
        <f>COUNTIFS(PlayData!L:L, $A6,PlayData!$G:$G, "Run",PlayData!$T:$T, "TD")</f>
        <v>0</v>
      </c>
      <c r="G6">
        <f>COUNTIFS(PlayData!L:L, $A6,PlayData!$G:$G, "Run",PlayData!$T:$T, "Fumble")</f>
        <v>0</v>
      </c>
      <c r="H6">
        <f>COUNTIFS(PlayData!$G:$G,"Run", PlayData!$L:$L, $A6, PlayData!$S:$S, "&lt;0")</f>
        <v>0</v>
      </c>
      <c r="I6">
        <f>COUNTIFS(PlayData!$G:$G,"Run", PlayData!$L:$L, $A6, PlayData!$S:$S, "&gt;=0", PlayData!$S:$S, "&lt;=4")</f>
        <v>0</v>
      </c>
      <c r="J6">
        <f>COUNTIFS(PlayData!$G:$G,"Run", PlayData!$L:$L, $A6, PlayData!$S:$S, "&gt;4", PlayData!$S:$S, "&lt;=10")</f>
        <v>0</v>
      </c>
      <c r="K6">
        <f>COUNTIFS(PlayData!$G:$G,"Run",PlayData!$L:$L,$A6,PlayData!$S:$S,"&gt;10")</f>
        <v>0</v>
      </c>
      <c r="L6">
        <f>SUMIFS(PlayData!$N:$N,PlayData!$L:$L,$A6, PlayData!$G:$G, "Run")</f>
        <v>0</v>
      </c>
      <c r="M6">
        <f>SUMIFS(PlayData!$AD:$AD,PlayData!$G:$G, "Run",PlayData!$L:$L, $A6)</f>
        <v>0</v>
      </c>
      <c r="N6" t="e">
        <f t="shared" si="1"/>
        <v>#DIV/0!</v>
      </c>
      <c r="O6" t="e">
        <f t="shared" si="4"/>
        <v>#DIV/0!</v>
      </c>
      <c r="P6">
        <f>SUMIFS(PlayData!$M:$M, PlayData!$L:$L, $A6, PlayData!$G:$G, "Run")</f>
        <v>0</v>
      </c>
      <c r="Q6">
        <f t="shared" si="2"/>
        <v>0</v>
      </c>
      <c r="R6">
        <f>SUMIFS(PlayData!$J:$J, PlayData!$L:$L, $A6, PlayData!$G:$G, "Run")</f>
        <v>0</v>
      </c>
      <c r="S6" t="e">
        <f t="shared" si="3"/>
        <v>#DIV/0!</v>
      </c>
    </row>
    <row r="7" spans="1:19" x14ac:dyDescent="0.5">
      <c r="C7">
        <f>COUNTIFS(PlayData!$L:$L,RunningData!$A7,PlayData!$G:$G,"Run")</f>
        <v>0</v>
      </c>
      <c r="D7">
        <f>SUMIFS(PlayData!$S:$S,PlayData!$L:$L,$A7, PlayData!$G:$G, "Run")</f>
        <v>0</v>
      </c>
      <c r="E7" s="9" t="e">
        <f t="shared" si="0"/>
        <v>#DIV/0!</v>
      </c>
      <c r="F7">
        <f>COUNTIFS(PlayData!L:L, $A7,PlayData!$G:$G, "Run",PlayData!$T:$T, "TD")</f>
        <v>0</v>
      </c>
      <c r="G7">
        <f>COUNTIFS(PlayData!L:L, $A7,PlayData!$G:$G, "Run",PlayData!$T:$T, "Fumble")</f>
        <v>0</v>
      </c>
      <c r="H7">
        <f>COUNTIFS(PlayData!$G:$G,"Run", PlayData!$L:$L, $A7, PlayData!$S:$S, "&lt;0")</f>
        <v>0</v>
      </c>
      <c r="I7">
        <f>COUNTIFS(PlayData!$G:$G,"Run", PlayData!$L:$L, $A7, PlayData!$S:$S, "&gt;=0", PlayData!$S:$S, "&lt;=4")</f>
        <v>0</v>
      </c>
      <c r="J7">
        <f>COUNTIFS(PlayData!$G:$G,"Run", PlayData!$L:$L, $A7, PlayData!$S:$S, "&gt;4", PlayData!$S:$S, "&lt;=10")</f>
        <v>0</v>
      </c>
      <c r="K7">
        <f>COUNTIFS(PlayData!$G:$G,"Run",PlayData!$L:$L,$A7,PlayData!$S:$S,"&gt;10")</f>
        <v>0</v>
      </c>
      <c r="L7">
        <f>SUMIFS(PlayData!$N:$N,PlayData!$L:$L,$A7, PlayData!$G:$G, "Run")</f>
        <v>0</v>
      </c>
      <c r="M7">
        <f>SUMIFS(PlayData!$AD:$AD,PlayData!$G:$G, "Run",PlayData!$L:$L, $A7)</f>
        <v>0</v>
      </c>
      <c r="N7" t="e">
        <f t="shared" si="1"/>
        <v>#DIV/0!</v>
      </c>
      <c r="O7" t="e">
        <f t="shared" si="4"/>
        <v>#DIV/0!</v>
      </c>
      <c r="P7">
        <f>SUMIFS(PlayData!$M:$M, PlayData!$L:$L, $A7, PlayData!$G:$G, "Run")</f>
        <v>0</v>
      </c>
      <c r="Q7">
        <f t="shared" si="2"/>
        <v>0</v>
      </c>
      <c r="R7">
        <f>SUMIFS(PlayData!$J:$J, PlayData!$L:$L, $A7, PlayData!$G:$G, "Run")</f>
        <v>0</v>
      </c>
      <c r="S7" t="e">
        <f t="shared" si="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6128-344E-494C-BC99-D8517BC5EBA4}">
  <dimension ref="A1:AZ8"/>
  <sheetViews>
    <sheetView workbookViewId="0">
      <selection activeCell="E8" sqref="E8"/>
    </sheetView>
  </sheetViews>
  <sheetFormatPr defaultRowHeight="14.35" x14ac:dyDescent="0.5"/>
  <cols>
    <col min="1" max="1" width="7.41015625" bestFit="1" customWidth="1"/>
    <col min="2" max="2" width="7.64453125" bestFit="1" customWidth="1"/>
    <col min="3" max="3" width="6.703125" bestFit="1" customWidth="1"/>
    <col min="4" max="4" width="7" bestFit="1" customWidth="1"/>
    <col min="5" max="5" width="5.5859375" bestFit="1" customWidth="1"/>
    <col min="6" max="6" width="8.17578125" bestFit="1" customWidth="1"/>
    <col min="7" max="7" width="4.76171875" bestFit="1" customWidth="1"/>
    <col min="8" max="8" width="10.8203125" bestFit="1" customWidth="1"/>
    <col min="9" max="10" width="6.87890625" bestFit="1" customWidth="1"/>
    <col min="11" max="11" width="4.76171875" bestFit="1" customWidth="1"/>
    <col min="12" max="12" width="11.76171875" bestFit="1" customWidth="1"/>
    <col min="13" max="13" width="11.1171875" bestFit="1" customWidth="1"/>
    <col min="14" max="14" width="7.5859375" bestFit="1" customWidth="1"/>
    <col min="15" max="15" width="8.234375" bestFit="1" customWidth="1"/>
    <col min="16" max="16" width="4.9375" bestFit="1" customWidth="1"/>
    <col min="17" max="17" width="5.17578125" bestFit="1" customWidth="1"/>
    <col min="18" max="18" width="7.64453125" bestFit="1" customWidth="1"/>
    <col min="19" max="19" width="5.05859375" bestFit="1" customWidth="1"/>
    <col min="20" max="20" width="8.41015625" bestFit="1" customWidth="1"/>
    <col min="21" max="21" width="8.5859375" bestFit="1" customWidth="1"/>
    <col min="22" max="22" width="9.5859375" bestFit="1" customWidth="1"/>
    <col min="23" max="23" width="8.64453125" bestFit="1" customWidth="1"/>
    <col min="24" max="24" width="8.8203125" bestFit="1" customWidth="1"/>
    <col min="25" max="25" width="9.8203125" bestFit="1" customWidth="1"/>
    <col min="26" max="26" width="11.1171875" bestFit="1" customWidth="1"/>
    <col min="27" max="27" width="11.29296875" bestFit="1" customWidth="1"/>
    <col min="28" max="28" width="12.29296875" bestFit="1" customWidth="1"/>
    <col min="29" max="29" width="8.52734375" bestFit="1" customWidth="1"/>
    <col min="30" max="30" width="8.703125" bestFit="1" customWidth="1"/>
    <col min="31" max="31" width="9.703125" bestFit="1" customWidth="1"/>
    <col min="32" max="32" width="16.1171875" bestFit="1" customWidth="1"/>
    <col min="33" max="33" width="15.8203125" bestFit="1" customWidth="1"/>
    <col min="34" max="34" width="21.76171875" bestFit="1" customWidth="1"/>
    <col min="36" max="36" width="8.52734375" bestFit="1" customWidth="1"/>
    <col min="37" max="37" width="3.64453125" bestFit="1" customWidth="1"/>
    <col min="38" max="38" width="6.64453125" bestFit="1" customWidth="1"/>
    <col min="39" max="39" width="8.64453125" bestFit="1" customWidth="1"/>
    <col min="40" max="40" width="3.703125" bestFit="1" customWidth="1"/>
    <col min="41" max="41" width="8.41015625" bestFit="1" customWidth="1"/>
    <col min="42" max="42" width="8.5859375" bestFit="1" customWidth="1"/>
    <col min="43" max="43" width="9.5859375" bestFit="1" customWidth="1"/>
    <col min="44" max="44" width="8.64453125" bestFit="1" customWidth="1"/>
    <col min="45" max="45" width="8.8203125" bestFit="1" customWidth="1"/>
    <col min="46" max="46" width="9.8203125" bestFit="1" customWidth="1"/>
    <col min="47" max="47" width="11.1171875" bestFit="1" customWidth="1"/>
    <col min="48" max="48" width="11.29296875" bestFit="1" customWidth="1"/>
    <col min="49" max="49" width="12.29296875" bestFit="1" customWidth="1"/>
    <col min="50" max="50" width="8.52734375" bestFit="1" customWidth="1"/>
    <col min="51" max="51" width="8.703125" bestFit="1" customWidth="1"/>
    <col min="52" max="52" width="9.703125" bestFit="1" customWidth="1"/>
  </cols>
  <sheetData>
    <row r="1" spans="1:52" s="3" customFormat="1" x14ac:dyDescent="0.5">
      <c r="A1" s="3" t="s">
        <v>45</v>
      </c>
      <c r="B1" s="2" t="s">
        <v>62</v>
      </c>
      <c r="C1" s="2" t="s">
        <v>70</v>
      </c>
      <c r="D1" s="2" t="s">
        <v>63</v>
      </c>
      <c r="E1" s="2" t="s">
        <v>64</v>
      </c>
      <c r="F1" s="2" t="s">
        <v>65</v>
      </c>
      <c r="G1" s="2" t="s">
        <v>37</v>
      </c>
      <c r="H1" s="2" t="s">
        <v>66</v>
      </c>
      <c r="I1" s="12" t="s">
        <v>38</v>
      </c>
      <c r="J1" s="12" t="s">
        <v>73</v>
      </c>
      <c r="K1" s="2" t="s">
        <v>67</v>
      </c>
      <c r="L1" s="2" t="s">
        <v>68</v>
      </c>
      <c r="M1" s="2" t="s">
        <v>69</v>
      </c>
      <c r="N1" s="2" t="s">
        <v>52</v>
      </c>
      <c r="O1" s="2" t="s">
        <v>74</v>
      </c>
      <c r="P1" s="2" t="s">
        <v>110</v>
      </c>
      <c r="Q1" s="2" t="s">
        <v>123</v>
      </c>
      <c r="R1" s="2" t="s">
        <v>122</v>
      </c>
      <c r="S1" s="2" t="s">
        <v>124</v>
      </c>
      <c r="T1" s="2" t="s">
        <v>111</v>
      </c>
      <c r="U1" s="2" t="s">
        <v>112</v>
      </c>
      <c r="V1" s="2" t="s">
        <v>129</v>
      </c>
      <c r="W1" s="2" t="s">
        <v>113</v>
      </c>
      <c r="X1" s="2" t="s">
        <v>114</v>
      </c>
      <c r="Y1" s="2" t="s">
        <v>115</v>
      </c>
      <c r="Z1" s="2" t="s">
        <v>130</v>
      </c>
      <c r="AA1" s="2" t="s">
        <v>131</v>
      </c>
      <c r="AB1" s="2" t="s">
        <v>132</v>
      </c>
      <c r="AC1" s="2" t="s">
        <v>116</v>
      </c>
      <c r="AD1" s="2" t="s">
        <v>117</v>
      </c>
      <c r="AE1" s="2" t="s">
        <v>118</v>
      </c>
      <c r="AF1" s="2" t="s">
        <v>71</v>
      </c>
      <c r="AG1" s="2" t="s">
        <v>72</v>
      </c>
      <c r="AH1" s="2" t="s">
        <v>106</v>
      </c>
      <c r="AJ1" s="3" t="s">
        <v>75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111</v>
      </c>
      <c r="AP1" s="2" t="s">
        <v>112</v>
      </c>
      <c r="AQ1" s="2" t="s">
        <v>129</v>
      </c>
      <c r="AR1" s="2" t="s">
        <v>113</v>
      </c>
      <c r="AS1" s="2" t="s">
        <v>114</v>
      </c>
      <c r="AT1" s="2" t="s">
        <v>115</v>
      </c>
      <c r="AU1" s="2" t="s">
        <v>130</v>
      </c>
      <c r="AV1" s="2" t="s">
        <v>131</v>
      </c>
      <c r="AW1" s="2" t="s">
        <v>132</v>
      </c>
      <c r="AX1" s="2" t="s">
        <v>116</v>
      </c>
      <c r="AY1" s="2" t="s">
        <v>117</v>
      </c>
      <c r="AZ1" s="2" t="s">
        <v>118</v>
      </c>
    </row>
    <row r="2" spans="1:52" x14ac:dyDescent="0.5">
      <c r="A2" t="s">
        <v>125</v>
      </c>
      <c r="B2" s="1">
        <v>6</v>
      </c>
      <c r="C2" s="1">
        <f>COUNTIFS(PlayData!$G:$G, "Pass Attempt",PlayData!$X:$X,ReceivingData!$B2)</f>
        <v>10</v>
      </c>
      <c r="D2" s="1">
        <f>COUNTIFS(PlayData!$G:$G, "Pass Attempt", PlayData!$U:$U, "Catch", PlayData!$X:$X, $B2)</f>
        <v>6</v>
      </c>
      <c r="E2" s="1">
        <f>COUNTIFS(PlayData!$G:$G, "Pass Attempt", PlayData!$U:$U, "Drop", PlayData!$X:$X, $B2)</f>
        <v>0</v>
      </c>
      <c r="F2" s="1">
        <f>SUMIFS(PlayData!$S:$S, PlayData!$G:$G, "Pass Attempt", PlayData!$U:$U, "Catch", PlayData!$X:$X,ReceivingData!$B2)</f>
        <v>87</v>
      </c>
      <c r="G2" s="1">
        <f>SUMIFS(PlayData!$W:$W, PlayData!$G:$G,"Pass Attempt", PlayData!$X:$X,$B2)</f>
        <v>180</v>
      </c>
      <c r="H2" s="1">
        <f>SUMIFS(PlayData!$W:$W, PlayData!$G:$G,"Pass Attempt", PlayData!$X:$X,$B2, PlayData!$U:$U, "Catch")</f>
        <v>71</v>
      </c>
      <c r="I2" s="4">
        <f>$G2/$C2</f>
        <v>18</v>
      </c>
      <c r="J2" s="4">
        <f>$H2/$D2</f>
        <v>11.833333333333334</v>
      </c>
      <c r="K2" s="1">
        <f>SUMIFS(PlayData!$AB:$AB, PlayData!$G:$G, "Pass Attempt", PlayData!$X:$X, $B2)</f>
        <v>16</v>
      </c>
      <c r="L2" s="1">
        <f>$K2/$D2</f>
        <v>2.6666666666666665</v>
      </c>
      <c r="M2" s="1">
        <f>COUNTIFS(PlayData!$G:$G, "Pass Attempt", PlayData!$X:$X, $B2, PlayData!$T:$T, "TD")</f>
        <v>0</v>
      </c>
      <c r="N2" s="1">
        <f>COUNTIFS(PlayData!$G:$G, "Pass Attempt", PlayData!$X:$X, $B2, PlayData!$T:$T, "Fumble")</f>
        <v>0</v>
      </c>
      <c r="O2" s="1"/>
      <c r="P2" s="1">
        <f>COUNTIFS(PlayData!$G:$G, "Pass Attempt",PlayData!$X:$X,ReceivingData!$B2,PlayData!$W:$W, "&lt;=0")</f>
        <v>0</v>
      </c>
      <c r="Q2" s="1">
        <f>COUNTIFS(PlayData!$G:$G, "Pass Attempt",PlayData!$X:$X,ReceivingData!$B2,PlayData!$W:$W, "&gt;0",PlayData!$W:$W, "&lt;10" )</f>
        <v>5</v>
      </c>
      <c r="R2" s="1">
        <f>COUNTIFS(PlayData!$G:$G, "Pass Attempt",PlayData!$X:$X,ReceivingData!$B2,PlayData!$W:$W, "&gt;=10",PlayData!$W:$W, "&lt;20" )</f>
        <v>1</v>
      </c>
      <c r="S2" s="1">
        <f>COUNTIFS(PlayData!$G:$G, "Pass Attempt",PlayData!$X:$X,ReceivingData!$B2,PlayData!$W:$W, "&gt;=20")</f>
        <v>4</v>
      </c>
      <c r="T2" s="1">
        <f>COUNTIFS(PlayData!$G:$G, "Pass Attempt",PlayData!$X:$X,ReceivingData!$B2,PlayData!$W:$W, "&lt;=0", PlayData!$H:$H, "L")</f>
        <v>0</v>
      </c>
      <c r="U2" s="1">
        <f>COUNTIFS(PlayData!$G:$G, "Pass Attempt",PlayData!$X:$X,ReceivingData!$B2,PlayData!$W:$W, "&lt;=0", PlayData!$H:$H, "M")</f>
        <v>0</v>
      </c>
      <c r="V2" s="1">
        <f>COUNTIFS(PlayData!$G:$G, "Pass Attempt",PlayData!$X:$X,ReceivingData!$B2,PlayData!$W:$W, "&lt;=0", PlayData!$H:$H, "R")</f>
        <v>0</v>
      </c>
      <c r="W2" s="1">
        <f>COUNTIFS(PlayData!$G:$G, "Pass Attempt",PlayData!$X:$X,ReceivingData!$B2,PlayData!$W:$W, "&gt;0",PlayData!$W:$W, "&lt;10",PlayData!$H:$H, "L")</f>
        <v>1</v>
      </c>
      <c r="X2" s="1">
        <f>COUNTIFS(PlayData!$G:$G, "Pass Attempt",PlayData!$X:$X,ReceivingData!$B2,PlayData!$W:$W, "&gt;0",PlayData!$W:$W, "&lt;10",PlayData!$H:$H, "M")</f>
        <v>1</v>
      </c>
      <c r="Y2" s="1">
        <f>COUNTIFS(PlayData!$G:$G, "Pass Attempt",PlayData!$X:$X,ReceivingData!$B2,PlayData!$W:$W, "&gt;0",PlayData!$W:$W, "&lt;10",PlayData!$H:$H, "R")</f>
        <v>3</v>
      </c>
      <c r="Z2" s="1">
        <f>COUNTIFS(PlayData!$G:$G, "Pass Attempt",PlayData!$X:$X,ReceivingData!$B2,PlayData!$W:$W, "&gt;=10",PlayData!$W:$W, "&lt;20",PlayData!$H:$H, "L")</f>
        <v>0</v>
      </c>
      <c r="AA2" s="1">
        <f>COUNTIFS(PlayData!$G:$G, "Pass Attempt",PlayData!$X:$X,ReceivingData!$B2,PlayData!$W:$W, "&gt;=10",PlayData!$W:$W, "&lt;20",PlayData!$H:$H, "M")</f>
        <v>0</v>
      </c>
      <c r="AB2" s="1">
        <f>COUNTIFS(PlayData!$G:$G, "Pass Attempt",PlayData!$X:$X,ReceivingData!$B2,PlayData!$W:$W, "&gt;=10",PlayData!$W:$W, "&lt;20",PlayData!$H:$H, "R")</f>
        <v>1</v>
      </c>
      <c r="AC2" s="1">
        <f>COUNTIFS(PlayData!$G:$G, "Pass Attempt",PlayData!$X:$X,ReceivingData!$B2,PlayData!$W:$W, "&gt;=20",PlayData!$H:$H, "L")</f>
        <v>0</v>
      </c>
      <c r="AD2" s="1">
        <f>COUNTIFS(PlayData!$G:$G, "Pass Attempt",PlayData!$X:$X,ReceivingData!$B2,PlayData!$W:$W, "&gt;=20",PlayData!$H:$H, "M")</f>
        <v>2</v>
      </c>
      <c r="AE2" s="1">
        <f>COUNTIFS(PlayData!$G:$G, "Pass Attempt",PlayData!$X:$X,ReceivingData!$B2,PlayData!$W:$W, "&gt;=20",PlayData!$H:$H, "R")</f>
        <v>2</v>
      </c>
      <c r="AF2" s="1" t="e">
        <f>COUNTIFS(PlayData!$G:$G, "Pass Attempt", PlayData!$U:$U, "Catch", PlayData!$X:$X, $B2,PlayData!#REF!, "3")</f>
        <v>#REF!</v>
      </c>
      <c r="AG2" s="1" t="e">
        <f>COUNTIFS(PlayData!$G:$G, "Pass Attempt",PlayData!$X:$X,ReceivingData!$B2,PlayData!#REF!, "3")</f>
        <v>#REF!</v>
      </c>
      <c r="AH2" s="1" t="e">
        <f>COUNTIFS(PlayData!$G:$G, "Pass Attempt", PlayData!#REF!, "Y",PlayData!$X:$X, $B2)</f>
        <v>#REF!</v>
      </c>
      <c r="AK2" s="1">
        <f>COUNTIFS(PlayData!$G:$G, "Pass Attempt",PlayData!$X:$X,ReceivingData!$B2,PlayData!$W:$W, "&lt;=0",PlayData!$U:$U, "Catch")</f>
        <v>0</v>
      </c>
      <c r="AL2" s="1">
        <f>COUNTIFS(PlayData!$G:$G, "Pass Attempt",PlayData!$X:$X,ReceivingData!$B2,PlayData!$W:$W, "&gt;0",PlayData!$W:$W, "&lt;10",PlayData!$U:$U, "Catch")</f>
        <v>4</v>
      </c>
      <c r="AM2" s="1">
        <f>COUNTIFS(PlayData!$G:$G, "Pass Attempt",PlayData!$X:$X,ReceivingData!$B2,PlayData!$W:$W, "&gt;=10",PlayData!$W:$W, "&lt;20",PlayData!$U:$U, "Catch")</f>
        <v>1</v>
      </c>
      <c r="AN2" s="1">
        <f>COUNTIFS(PlayData!$G:$G, "Pass Attempt",PlayData!$X:$X,ReceivingData!$B2,PlayData!$W:$W, "&gt;=20",PlayData!$U:$U, "Catch")</f>
        <v>1</v>
      </c>
      <c r="AO2" s="1">
        <f>COUNTIFS(PlayData!$G:$G, "Pass Attempt",PlayData!$X:$X,ReceivingData!$B2,PlayData!$W:$W, "&lt;=0", PlayData!$H:$H, "L",PlayData!$U:$U, "Catch")</f>
        <v>0</v>
      </c>
      <c r="AP2" s="1">
        <f>COUNTIFS(PlayData!$G:$G, "Pass Attempt",PlayData!$X:$X,ReceivingData!$B2,PlayData!$W:$W, "&lt;=0", PlayData!$H:$H, "M",PlayData!$U:$U, "Catch")</f>
        <v>0</v>
      </c>
      <c r="AQ2" s="1">
        <f>COUNTIFS(PlayData!$G:$G, "Pass Attempt",PlayData!$X:$X,ReceivingData!$B2,PlayData!$W:$W, "&lt;=0", PlayData!$H:$H, "R",PlayData!$U:$U, "Catch")</f>
        <v>0</v>
      </c>
      <c r="AR2" s="1">
        <f>COUNTIFS(PlayData!$G:$G, "Pass Attempt",PlayData!$X:$X,ReceivingData!$B2,PlayData!$W:$W, "&gt;0",PlayData!$W:$W, "&lt;10",PlayData!$H:$H, "L",PlayData!$U:$U, "Catch")</f>
        <v>0</v>
      </c>
      <c r="AS2" s="1">
        <f>COUNTIFS(PlayData!$G:$G, "Pass Attempt",PlayData!$X:$X,ReceivingData!$B2,PlayData!$W:$W, "&gt;0",PlayData!$W:$W, "&lt;10",PlayData!$H:$H, "M",PlayData!$U:$U, "Catch")</f>
        <v>1</v>
      </c>
      <c r="AT2" s="1">
        <f>COUNTIFS(PlayData!$G:$G, "Pass Attempt",PlayData!$X:$X,ReceivingData!$B2,PlayData!$W:$W, "&gt;0",PlayData!$W:$W, "&lt;10",PlayData!$H:$H, "R",PlayData!$U:$U, "Catch")</f>
        <v>3</v>
      </c>
      <c r="AU2" s="1">
        <f>COUNTIFS(PlayData!$G:$G, "Pass Attempt",PlayData!$X:$X,ReceivingData!$B2,PlayData!$W:$W, "&gt;=10",PlayData!$W:$W, "&lt;20",PlayData!$H:$H, "L",PlayData!$U:$U, "Catch")</f>
        <v>0</v>
      </c>
      <c r="AV2" s="1">
        <f>COUNTIFS(PlayData!$G:$G, "Pass Attempt",PlayData!$X:$X,ReceivingData!$B2,PlayData!$W:$W, "&gt;=10",PlayData!$W:$W, "&lt;20",PlayData!$H:$H, "M",PlayData!$U:$U, "Catch")</f>
        <v>0</v>
      </c>
      <c r="AW2" s="1">
        <f>COUNTIFS(PlayData!$G:$G, "Pass Attempt",PlayData!$X:$X,ReceivingData!$B2,PlayData!$W:$W, "&gt;=10",PlayData!$W:$W, "&lt;20",PlayData!$H:$H, "R",PlayData!$U:$U, "Catch")</f>
        <v>1</v>
      </c>
      <c r="AX2" s="1">
        <f>COUNTIFS(PlayData!$G:$G, "Pass Attempt",PlayData!$X:$X,ReceivingData!$B2,PlayData!$W:$W, "&gt;=20",PlayData!$H:$H, "L",PlayData!$U:$U, "Catch")</f>
        <v>0</v>
      </c>
      <c r="AY2" s="1">
        <f>COUNTIFS(PlayData!$G:$G, "Pass Attempt",PlayData!$X:$X,ReceivingData!$B2,PlayData!$W:$W, "&gt;=20",PlayData!$H:$H, "M",PlayData!$U:$U, "Catch")</f>
        <v>1</v>
      </c>
      <c r="AZ2" s="1">
        <f>COUNTIFS(PlayData!$G:$G, "Pass Attempt",PlayData!$X:$X,ReceivingData!$B2,PlayData!$W:$W, "&gt;=20",PlayData!$H:$H, "R",PlayData!$U:$U, "Catch")</f>
        <v>0</v>
      </c>
    </row>
    <row r="3" spans="1:52" x14ac:dyDescent="0.5">
      <c r="A3" t="s">
        <v>147</v>
      </c>
      <c r="B3" s="1">
        <v>82</v>
      </c>
      <c r="C3" s="1">
        <f>COUNTIFS(PlayData!$G:$G, "Pass Attempt",PlayData!$X:$X,ReceivingData!$B3)</f>
        <v>6</v>
      </c>
      <c r="D3" s="1">
        <f>COUNTIFS(PlayData!$G:$G, "Pass Attempt", PlayData!$U:$U, "Catch", PlayData!$X:$X, $B3)</f>
        <v>4</v>
      </c>
      <c r="E3" s="1">
        <f>COUNTIFS(PlayData!$G:$G, "Pass Attempt", PlayData!$U:$U, "Drop", PlayData!$X:$X, $B3)</f>
        <v>1</v>
      </c>
      <c r="F3" s="1">
        <f>SUMIFS(PlayData!$S:$S, PlayData!$G:$G, "Pass Attempt", PlayData!$U:$U, "Catch", PlayData!$X:$X,ReceivingData!$B3)</f>
        <v>35</v>
      </c>
      <c r="G3" s="1">
        <f>SUMIFS(PlayData!$W:$W, PlayData!$G:$G,"Pass Attempt", PlayData!$X:$X,$B3)</f>
        <v>41</v>
      </c>
      <c r="H3" s="1">
        <f>SUMIFS(PlayData!$W:$W, PlayData!$G:$G,"Pass Attempt", PlayData!$X:$X,$B3, PlayData!$U:$U, "Catch")</f>
        <v>31</v>
      </c>
      <c r="I3" s="4">
        <f>$G3/$C3</f>
        <v>6.833333333333333</v>
      </c>
      <c r="J3" s="4">
        <f>$H3/$D3</f>
        <v>7.75</v>
      </c>
      <c r="K3" s="1">
        <f>SUMIFS(PlayData!$AB:$AB, PlayData!$G:$G, "Pass Attempt", PlayData!$X:$X, $B3)</f>
        <v>4</v>
      </c>
      <c r="L3" s="1">
        <f>$K3/$D3</f>
        <v>1</v>
      </c>
      <c r="M3" s="1">
        <f>COUNTIFS(PlayData!$G:$G, "Pass Attempt", PlayData!$X:$X, $B3, PlayData!$T:$T, "TD")</f>
        <v>1</v>
      </c>
      <c r="N3" s="1">
        <f>COUNTIFS(PlayData!$G:$G, "Pass Attempt", PlayData!$X:$X, $B3, PlayData!$T:$T, "Fumble")</f>
        <v>0</v>
      </c>
      <c r="O3" s="1"/>
      <c r="P3" s="1">
        <f>COUNTIFS(PlayData!$G:$G, "Pass Attempt",PlayData!$X:$X,ReceivingData!$B3,PlayData!$W:$W, "&lt;=0")</f>
        <v>0</v>
      </c>
      <c r="Q3" s="1">
        <f>COUNTIFS(PlayData!$G:$G, "Pass Attempt",PlayData!$X:$X,ReceivingData!$B3,PlayData!$W:$W, "&gt;0",PlayData!$W:$W, "&lt;=9" )</f>
        <v>5</v>
      </c>
      <c r="R3" s="1">
        <f>COUNTIFS(PlayData!$G:$G, "Pass Attempt",PlayData!$X:$X,ReceivingData!$B3,PlayData!$W:$W, "&gt;=10",PlayData!$W:$W, "&lt;20" )</f>
        <v>1</v>
      </c>
      <c r="S3" s="1">
        <f>COUNTIFS(PlayData!$G:$G, "Pass Attempt",PlayData!$X:$X,ReceivingData!$B3,PlayData!$W:$W, "&gt;=20")</f>
        <v>0</v>
      </c>
      <c r="T3" s="1">
        <f>COUNTIFS(PlayData!$G:$G, "Pass Attempt",PlayData!$X:$X,ReceivingData!$B3,PlayData!$W:$W, "&lt;=0", PlayData!$H:$H, "L")</f>
        <v>0</v>
      </c>
      <c r="U3" s="1">
        <f>COUNTIFS(PlayData!$G:$G, "Pass Attempt",PlayData!$X:$X,ReceivingData!$B3,PlayData!$W:$W, "&lt;=0", PlayData!$H:$H, "M")</f>
        <v>0</v>
      </c>
      <c r="V3" s="1">
        <f>COUNTIFS(PlayData!$G:$G, "Pass Attempt",PlayData!$X:$X,ReceivingData!$B3,PlayData!$W:$W, "&lt;=0", PlayData!$H:$H, "R")</f>
        <v>0</v>
      </c>
      <c r="W3" s="1">
        <f>COUNTIFS(PlayData!$G:$G, "Pass Attempt",PlayData!$X:$X,ReceivingData!$B3,PlayData!$W:$W, "&gt;0",PlayData!$W:$W, "&lt;10",PlayData!$H:$H, "L")</f>
        <v>2</v>
      </c>
      <c r="X3" s="1">
        <f>COUNTIFS(PlayData!$G:$G, "Pass Attempt",PlayData!$X:$X,ReceivingData!$B3,PlayData!$W:$W, "&gt;0",PlayData!$W:$W, "&lt;10",PlayData!$H:$H, "M")</f>
        <v>2</v>
      </c>
      <c r="Y3" s="1">
        <f>COUNTIFS(PlayData!$G:$G, "Pass Attempt",PlayData!$X:$X,ReceivingData!$B3,PlayData!$W:$W, "&gt;0",PlayData!$W:$W, "&lt;10",PlayData!$H:$H, "R")</f>
        <v>1</v>
      </c>
      <c r="Z3" s="1">
        <f>COUNTIFS(PlayData!$G:$G, "Pass Attempt",PlayData!$X:$X,ReceivingData!$B3,PlayData!$W:$W, "&gt;=10",PlayData!$W:$W, "&lt;20",PlayData!$H:$H, "L")</f>
        <v>0</v>
      </c>
      <c r="AA3" s="1">
        <f>COUNTIFS(PlayData!$G:$G, "Pass Attempt",PlayData!$X:$X,ReceivingData!$B3,PlayData!$W:$W, "&gt;=10",PlayData!$W:$W, "&lt;20",PlayData!$H:$H, "M")</f>
        <v>0</v>
      </c>
      <c r="AB3" s="1">
        <f>COUNTIFS(PlayData!$G:$G, "Pass Attempt",PlayData!$X:$X,ReceivingData!$B3,PlayData!$W:$W, "&gt;=10",PlayData!$W:$W, "&lt;20",PlayData!$H:$H, "R")</f>
        <v>1</v>
      </c>
      <c r="AC3" s="1">
        <f>COUNTIFS(PlayData!$G:$G, "Pass Attempt",PlayData!$X:$X,ReceivingData!$B3,PlayData!$W:$W, "&gt;=20",PlayData!$H:$H, "L")</f>
        <v>0</v>
      </c>
      <c r="AD3" s="1">
        <f>COUNTIFS(PlayData!$G:$G, "Pass Attempt",PlayData!$X:$X,ReceivingData!$B3,PlayData!$W:$W, "&gt;=20",PlayData!$H:$H, "M")</f>
        <v>0</v>
      </c>
      <c r="AE3" s="1">
        <f>COUNTIFS(PlayData!$G:$G, "Pass Attempt",PlayData!$X:$X,ReceivingData!$B3,PlayData!$W:$W, "&gt;=20",PlayData!$H:$H, "R")</f>
        <v>0</v>
      </c>
      <c r="AF3" s="1" t="e">
        <f>COUNTIFS(PlayData!$G:$G, "Pass Attempt", PlayData!$U:$U, "Catch", PlayData!$X:$X, $B3,PlayData!#REF!, "3")</f>
        <v>#REF!</v>
      </c>
      <c r="AG3" s="1" t="e">
        <f>COUNTIFS(PlayData!$G:$G, "Pass Attempt",PlayData!$X:$X,ReceivingData!$B3,PlayData!#REF!, "3")</f>
        <v>#REF!</v>
      </c>
      <c r="AH3" s="1" t="e">
        <f>COUNTIFS(PlayData!$G:$G, "Pass Attempt", PlayData!#REF!, "Y",PlayData!$X:$X, $B3)</f>
        <v>#REF!</v>
      </c>
      <c r="AK3" s="1">
        <f>COUNTIFS(PlayData!$G:$G, "Pass Attempt",PlayData!$X:$X,ReceivingData!$B3,PlayData!$W:$W, "&lt;=0",PlayData!$U:$U, "Catch")</f>
        <v>0</v>
      </c>
      <c r="AL3" s="1">
        <f>COUNTIFS(PlayData!$G:$G, "Pass Attempt",PlayData!$X:$X,ReceivingData!$B3,PlayData!$W:$W, "&gt;0",PlayData!$W:$W, "&lt;10",PlayData!$U:$U, "Catch")</f>
        <v>3</v>
      </c>
      <c r="AM3" s="1">
        <f>COUNTIFS(PlayData!$G:$G, "Pass Attempt",PlayData!$X:$X,ReceivingData!$B3,PlayData!$W:$W, "&gt;=10",PlayData!$W:$W, "&lt;20",PlayData!$U:$U, "Catch")</f>
        <v>1</v>
      </c>
      <c r="AN3" s="1">
        <f>COUNTIFS(PlayData!$G:$G, "Pass Attempt",PlayData!$X:$X,ReceivingData!$B3,PlayData!$W:$W, "&gt;=20",PlayData!$U:$U, "Catch")</f>
        <v>0</v>
      </c>
      <c r="AO3" s="1">
        <f>COUNTIFS(PlayData!$G:$G, "Pass Attempt",PlayData!$X:$X,ReceivingData!$B3,PlayData!$W:$W, "&lt;=0", PlayData!$H:$H, "L",PlayData!$U:$U, "Catch")</f>
        <v>0</v>
      </c>
      <c r="AP3" s="1">
        <f>COUNTIFS(PlayData!$G:$G, "Pass Attempt",PlayData!$X:$X,ReceivingData!$B3,PlayData!$W:$W, "&lt;=0", PlayData!$H:$H, "M",PlayData!$U:$U, "Catch")</f>
        <v>0</v>
      </c>
      <c r="AQ3" s="1">
        <f>COUNTIFS(PlayData!$G:$G, "Pass Attempt",PlayData!$X:$X,ReceivingData!$B3,PlayData!$W:$W, "&lt;=0", PlayData!$H:$H, "R",PlayData!$U:$U, "Catch")</f>
        <v>0</v>
      </c>
      <c r="AR3" s="1">
        <f>COUNTIFS(PlayData!$G:$G, "Pass Attempt",PlayData!$X:$X,ReceivingData!$B3,PlayData!$W:$W, "&gt;0",PlayData!$W:$W, "&lt;10",PlayData!$H:$H, "L",PlayData!$U:$U, "Catch")</f>
        <v>1</v>
      </c>
      <c r="AS3" s="1">
        <f>COUNTIFS(PlayData!$G:$G, "Pass Attempt",PlayData!$X:$X,ReceivingData!$B3,PlayData!$W:$W, "&gt;0",PlayData!$W:$W, "&lt;10",PlayData!$H:$H, "M",PlayData!$U:$U, "Catch")</f>
        <v>1</v>
      </c>
      <c r="AT3" s="1">
        <f>COUNTIFS(PlayData!$G:$G, "Pass Attempt",PlayData!$X:$X,ReceivingData!$B3,PlayData!$W:$W, "&gt;0",PlayData!$W:$W, "&lt;10",PlayData!$H:$H, "R",PlayData!$U:$U, "Catch")</f>
        <v>1</v>
      </c>
      <c r="AU3" s="1">
        <f>COUNTIFS(PlayData!$G:$G, "Pass Attempt",PlayData!$X:$X,ReceivingData!$B3,PlayData!$W:$W, "&gt;=10",PlayData!$W:$W, "&lt;20",PlayData!$H:$H, "L",PlayData!$U:$U, "Catch")</f>
        <v>0</v>
      </c>
      <c r="AV3" s="1">
        <f>COUNTIFS(PlayData!$G:$G, "Pass Attempt",PlayData!$X:$X,ReceivingData!$B3,PlayData!$W:$W, "&gt;=10",PlayData!$W:$W, "&lt;20",PlayData!$H:$H, "M",PlayData!$U:$U, "Catch")</f>
        <v>0</v>
      </c>
      <c r="AW3" s="1">
        <f>COUNTIFS(PlayData!$G:$G, "Pass Attempt",PlayData!$X:$X,ReceivingData!$B3,PlayData!$W:$W, "&gt;=10",PlayData!$W:$W, "&lt;20",PlayData!$H:$H, "R",PlayData!$U:$U, "Catch")</f>
        <v>1</v>
      </c>
      <c r="AX3" s="1">
        <f>COUNTIFS(PlayData!$G:$G, "Pass Attempt",PlayData!$X:$X,ReceivingData!$B3,PlayData!$W:$W, "&gt;=20",PlayData!$H:$H, "L",PlayData!$U:$U, "Catch")</f>
        <v>0</v>
      </c>
      <c r="AY3" s="1">
        <f>COUNTIFS(PlayData!$G:$G, "Pass Attempt",PlayData!$X:$X,ReceivingData!$B3,PlayData!$W:$W, "&gt;=20",PlayData!$H:$H, "M",PlayData!$U:$U, "Catch")</f>
        <v>0</v>
      </c>
      <c r="AZ3" s="1">
        <f>COUNTIFS(PlayData!$G:$G, "Pass Attempt",PlayData!$X:$X,ReceivingData!$B3,PlayData!$W:$W, "&gt;=20",PlayData!$H:$H, "R",PlayData!$U:$U, "Catch")</f>
        <v>0</v>
      </c>
    </row>
    <row r="4" spans="1:52" x14ac:dyDescent="0.5">
      <c r="A4" t="s">
        <v>128</v>
      </c>
      <c r="B4" s="1">
        <v>84</v>
      </c>
      <c r="C4" s="1">
        <f>COUNTIFS(PlayData!$G:$G, "Pass Attempt",PlayData!$X:$X,ReceivingData!$B4)</f>
        <v>3</v>
      </c>
      <c r="D4" s="1">
        <f>COUNTIFS(PlayData!$G:$G, "Pass Attempt", PlayData!$U:$U, "Catch", PlayData!$X:$X, $B4)</f>
        <v>3</v>
      </c>
      <c r="E4" s="1">
        <f>COUNTIFS(PlayData!$G:$G, "Pass Attempt", PlayData!$U:$U, "Drop", PlayData!$X:$X, $B4)</f>
        <v>0</v>
      </c>
      <c r="F4" s="1">
        <f>SUMIFS(PlayData!$S:$S, PlayData!$G:$G, "Pass Attempt", PlayData!$U:$U, "Catch", PlayData!$X:$X,ReceivingData!$B4)</f>
        <v>27</v>
      </c>
      <c r="G4" s="1">
        <f>SUMIFS(PlayData!$W:$W, PlayData!$G:$G,"Pass Attempt", PlayData!$X:$X,$B4)</f>
        <v>19</v>
      </c>
      <c r="H4" s="1">
        <f>SUMIFS(PlayData!$W:$W, PlayData!$G:$G,"Pass Attempt", PlayData!$X:$X,$B4, PlayData!$U:$U, "Catch")</f>
        <v>19</v>
      </c>
      <c r="I4" s="4">
        <f>$G4/$C4</f>
        <v>6.333333333333333</v>
      </c>
      <c r="J4" s="4">
        <f>$H4/$D4</f>
        <v>6.333333333333333</v>
      </c>
      <c r="K4" s="1">
        <f>SUMIFS(PlayData!$AB:$AB, PlayData!$G:$G, "Pass Attempt", PlayData!$X:$X, $B4)</f>
        <v>8</v>
      </c>
      <c r="L4" s="1">
        <f>$K4/$D4</f>
        <v>2.6666666666666665</v>
      </c>
      <c r="M4" s="1">
        <f>COUNTIFS(PlayData!$G:$G, "Pass Attempt", PlayData!$X:$X, $B4, PlayData!$T:$T, "TD")</f>
        <v>0</v>
      </c>
      <c r="N4" s="1">
        <f>COUNTIFS(PlayData!$G:$G, "Pass Attempt", PlayData!$X:$X, $B4, PlayData!$T:$T, "Fumble")</f>
        <v>0</v>
      </c>
      <c r="O4" s="1"/>
      <c r="P4" s="1">
        <f>COUNTIFS(PlayData!$G:$G, "Pass Attempt",PlayData!$X:$X,ReceivingData!$B4,PlayData!$W:$W, "&lt;=0")</f>
        <v>1</v>
      </c>
      <c r="Q4" s="1">
        <f>COUNTIFS(PlayData!$G:$G, "Pass Attempt",PlayData!$X:$X,ReceivingData!$B4,PlayData!$W:$W, "&gt;0",PlayData!$W:$W, "&lt;=9" )</f>
        <v>1</v>
      </c>
      <c r="R4" s="1">
        <f>COUNTIFS(PlayData!$G:$G, "Pass Attempt",PlayData!$X:$X,ReceivingData!$B4,PlayData!$W:$W, "&gt;=10",PlayData!$W:$W, "&lt;20" )</f>
        <v>1</v>
      </c>
      <c r="S4" s="1">
        <f>COUNTIFS(PlayData!$G:$G, "Pass Attempt",PlayData!$X:$X,ReceivingData!$B4,PlayData!$W:$W, "&gt;=20")</f>
        <v>0</v>
      </c>
      <c r="T4" s="1">
        <f>COUNTIFS(PlayData!$G:$G, "Pass Attempt",PlayData!$X:$X,ReceivingData!$B4,PlayData!$W:$W, "&lt;=0", PlayData!$H:$H, "L")</f>
        <v>0</v>
      </c>
      <c r="U4" s="1">
        <f>COUNTIFS(PlayData!$G:$G, "Pass Attempt",PlayData!$X:$X,ReceivingData!$B4,PlayData!$W:$W, "&lt;=0", PlayData!$H:$H, "M")</f>
        <v>0</v>
      </c>
      <c r="V4" s="1">
        <f>COUNTIFS(PlayData!$G:$G, "Pass Attempt",PlayData!$X:$X,ReceivingData!$B4,PlayData!$W:$W, "&lt;=0", PlayData!$H:$H, "R")</f>
        <v>1</v>
      </c>
      <c r="W4" s="1">
        <f>COUNTIFS(PlayData!$G:$G, "Pass Attempt",PlayData!$X:$X,ReceivingData!$B4,PlayData!$W:$W, "&gt;0",PlayData!$W:$W, "&lt;10",PlayData!$H:$H, "L")</f>
        <v>0</v>
      </c>
      <c r="X4" s="1">
        <f>COUNTIFS(PlayData!$G:$G, "Pass Attempt",PlayData!$X:$X,ReceivingData!$B4,PlayData!$W:$W, "&gt;0",PlayData!$W:$W, "&lt;10",PlayData!$H:$H, "M")</f>
        <v>0</v>
      </c>
      <c r="Y4" s="1">
        <f>COUNTIFS(PlayData!$G:$G, "Pass Attempt",PlayData!$X:$X,ReceivingData!$B4,PlayData!$W:$W, "&gt;0",PlayData!$W:$W, "&lt;10",PlayData!$H:$H, "R")</f>
        <v>1</v>
      </c>
      <c r="Z4" s="1">
        <f>COUNTIFS(PlayData!$G:$G, "Pass Attempt",PlayData!$X:$X,ReceivingData!$B4,PlayData!$W:$W, "&gt;=10",PlayData!$W:$W, "&lt;20",PlayData!$H:$H, "L")</f>
        <v>1</v>
      </c>
      <c r="AA4" s="1">
        <f>COUNTIFS(PlayData!$G:$G, "Pass Attempt",PlayData!$X:$X,ReceivingData!$B4,PlayData!$W:$W, "&gt;=10",PlayData!$W:$W, "&lt;20",PlayData!$H:$H, "M")</f>
        <v>0</v>
      </c>
      <c r="AB4" s="1">
        <f>COUNTIFS(PlayData!$G:$G, "Pass Attempt",PlayData!$X:$X,ReceivingData!$B4,PlayData!$W:$W, "&gt;=10",PlayData!$W:$W, "&lt;20",PlayData!$H:$H, "R")</f>
        <v>0</v>
      </c>
      <c r="AC4" s="1">
        <f>COUNTIFS(PlayData!$G:$G, "Pass Attempt",PlayData!$X:$X,ReceivingData!$B4,PlayData!$W:$W, "&gt;=20",PlayData!$H:$H, "L")</f>
        <v>0</v>
      </c>
      <c r="AD4" s="1">
        <f>COUNTIFS(PlayData!$G:$G, "Pass Attempt",PlayData!$X:$X,ReceivingData!$B4,PlayData!$W:$W, "&gt;=20",PlayData!$H:$H, "M")</f>
        <v>0</v>
      </c>
      <c r="AE4" s="1">
        <f>COUNTIFS(PlayData!$G:$G, "Pass Attempt",PlayData!$X:$X,ReceivingData!$B4,PlayData!$W:$W, "&gt;=20",PlayData!$H:$H, "R")</f>
        <v>0</v>
      </c>
      <c r="AF4" s="1" t="e">
        <f>COUNTIFS(PlayData!$G:$G, "Pass Attempt", PlayData!$U:$U, "Catch", PlayData!$X:$X, $B4,PlayData!#REF!, "3")</f>
        <v>#REF!</v>
      </c>
      <c r="AG4" s="1" t="e">
        <f>COUNTIFS(PlayData!$G:$G, "Pass Attempt",PlayData!$X:$X,ReceivingData!$B4,PlayData!#REF!, "3")</f>
        <v>#REF!</v>
      </c>
      <c r="AH4" s="1" t="e">
        <f>COUNTIFS(PlayData!$G:$G, "Pass Attempt", PlayData!#REF!, "Y",PlayData!$X:$X, $B4)</f>
        <v>#REF!</v>
      </c>
      <c r="AK4" s="1">
        <f>COUNTIFS(PlayData!$G:$G, "Pass Attempt",PlayData!$X:$X,ReceivingData!$B4,PlayData!$W:$W, "&lt;=0",PlayData!$U:$U, "Catch")</f>
        <v>1</v>
      </c>
      <c r="AL4" s="1">
        <f>COUNTIFS(PlayData!$G:$G, "Pass Attempt",PlayData!$X:$X,ReceivingData!$B4,PlayData!$W:$W, "&gt;0",PlayData!$W:$W, "&lt;10",PlayData!$U:$U, "Catch")</f>
        <v>1</v>
      </c>
      <c r="AM4" s="1">
        <f>COUNTIFS(PlayData!$G:$G, "Pass Attempt",PlayData!$X:$X,ReceivingData!$B4,PlayData!$W:$W, "&gt;=10",PlayData!$W:$W, "&lt;20",PlayData!$U:$U, "Catch")</f>
        <v>1</v>
      </c>
      <c r="AN4" s="1">
        <f>COUNTIFS(PlayData!$G:$G, "Pass Attempt",PlayData!$X:$X,ReceivingData!$B4,PlayData!$W:$W, "&gt;=20",PlayData!$U:$U, "Catch")</f>
        <v>0</v>
      </c>
      <c r="AO4" s="1">
        <f>COUNTIFS(PlayData!$G:$G, "Pass Attempt",PlayData!$X:$X,ReceivingData!$B4,PlayData!$W:$W, "&lt;=0", PlayData!$H:$H, "L",PlayData!$U:$U, "Catch")</f>
        <v>0</v>
      </c>
      <c r="AP4" s="1">
        <f>COUNTIFS(PlayData!$G:$G, "Pass Attempt",PlayData!$X:$X,ReceivingData!$B4,PlayData!$W:$W, "&lt;=0", PlayData!$H:$H, "M",PlayData!$U:$U, "Catch")</f>
        <v>0</v>
      </c>
      <c r="AQ4" s="1">
        <f>COUNTIFS(PlayData!$G:$G, "Pass Attempt",PlayData!$X:$X,ReceivingData!$B4,PlayData!$W:$W, "&lt;=0", PlayData!$H:$H, "R",PlayData!$U:$U, "Catch")</f>
        <v>1</v>
      </c>
      <c r="AR4" s="1">
        <f>COUNTIFS(PlayData!$G:$G, "Pass Attempt",PlayData!$X:$X,ReceivingData!$B4,PlayData!$W:$W, "&gt;0",PlayData!$W:$W, "&lt;10",PlayData!$H:$H, "L",PlayData!$U:$U, "Catch")</f>
        <v>0</v>
      </c>
      <c r="AS4" s="1">
        <f>COUNTIFS(PlayData!$G:$G, "Pass Attempt",PlayData!$X:$X,ReceivingData!$B4,PlayData!$W:$W, "&gt;0",PlayData!$W:$W, "&lt;10",PlayData!$H:$H, "M",PlayData!$U:$U, "Catch")</f>
        <v>0</v>
      </c>
      <c r="AT4" s="1">
        <f>COUNTIFS(PlayData!$G:$G, "Pass Attempt",PlayData!$X:$X,ReceivingData!$B4,PlayData!$W:$W, "&gt;0",PlayData!$W:$W, "&lt;10",PlayData!$H:$H, "R",PlayData!$U:$U, "Catch")</f>
        <v>1</v>
      </c>
      <c r="AU4" s="1">
        <f>COUNTIFS(PlayData!$G:$G, "Pass Attempt",PlayData!$X:$X,ReceivingData!$B4,PlayData!$W:$W, "&gt;=10",PlayData!$W:$W, "&lt;20",PlayData!$H:$H, "L",PlayData!$U:$U, "Catch")</f>
        <v>1</v>
      </c>
      <c r="AV4" s="1">
        <f>COUNTIFS(PlayData!$G:$G, "Pass Attempt",PlayData!$X:$X,ReceivingData!$B4,PlayData!$W:$W, "&gt;=10",PlayData!$W:$W, "&lt;20",PlayData!$H:$H, "M",PlayData!$U:$U, "Catch")</f>
        <v>0</v>
      </c>
      <c r="AW4" s="1">
        <f>COUNTIFS(PlayData!$G:$G, "Pass Attempt",PlayData!$X:$X,ReceivingData!$B4,PlayData!$W:$W, "&gt;=10",PlayData!$W:$W, "&lt;20",PlayData!$H:$H, "R",PlayData!$U:$U, "Catch")</f>
        <v>0</v>
      </c>
      <c r="AX4" s="1">
        <f>COUNTIFS(PlayData!$G:$G, "Pass Attempt",PlayData!$X:$X,ReceivingData!$B4,PlayData!$W:$W, "&gt;=20",PlayData!$H:$H, "L",PlayData!$U:$U, "Catch")</f>
        <v>0</v>
      </c>
      <c r="AY4" s="1">
        <f>COUNTIFS(PlayData!$G:$G, "Pass Attempt",PlayData!$X:$X,ReceivingData!$B4,PlayData!$W:$W, "&gt;=20",PlayData!$H:$H, "M",PlayData!$U:$U, "Catch")</f>
        <v>0</v>
      </c>
      <c r="AZ4" s="1">
        <f>COUNTIFS(PlayData!$G:$G, "Pass Attempt",PlayData!$X:$X,ReceivingData!$B4,PlayData!$W:$W, "&gt;=20",PlayData!$H:$H, "R",PlayData!$U:$U, "Catch")</f>
        <v>0</v>
      </c>
    </row>
    <row r="5" spans="1:52" x14ac:dyDescent="0.5">
      <c r="A5" t="s">
        <v>127</v>
      </c>
      <c r="B5" s="1">
        <v>14</v>
      </c>
      <c r="C5" s="1">
        <f>COUNTIFS(PlayData!$G:$G, "Pass Attempt",PlayData!$X:$X,ReceivingData!$B5)</f>
        <v>19</v>
      </c>
      <c r="D5" s="1">
        <f>COUNTIFS(PlayData!$G:$G, "Pass Attempt", PlayData!$U:$U, "Catch", PlayData!$X:$X, $B5)</f>
        <v>10</v>
      </c>
      <c r="E5" s="1">
        <f>COUNTIFS(PlayData!$G:$G, "Pass Attempt", PlayData!$U:$U, "Drop", PlayData!$X:$X, $B5)</f>
        <v>1</v>
      </c>
      <c r="F5" s="1">
        <f>SUMIFS(PlayData!$S:$S, PlayData!$G:$G, "Pass Attempt", PlayData!$U:$U, "Catch", PlayData!$X:$X,ReceivingData!$B5)</f>
        <v>101</v>
      </c>
      <c r="G5" s="1">
        <f>SUMIFS(PlayData!$W:$W, PlayData!$G:$G,"Pass Attempt", PlayData!$X:$X,$B5)</f>
        <v>244</v>
      </c>
      <c r="H5" s="1">
        <f>SUMIFS(PlayData!$W:$W, PlayData!$G:$G,"Pass Attempt", PlayData!$X:$X,$B5, PlayData!$U:$U, "Catch")</f>
        <v>62</v>
      </c>
      <c r="I5" s="4">
        <f>$G5/$C5</f>
        <v>12.842105263157896</v>
      </c>
      <c r="J5" s="4">
        <f>$H5/$D5</f>
        <v>6.2</v>
      </c>
      <c r="K5" s="1">
        <f>SUMIFS(PlayData!$AB:$AB, PlayData!$G:$G, "Pass Attempt", PlayData!$X:$X, $B5)</f>
        <v>39</v>
      </c>
      <c r="L5" s="1">
        <f>$K5/$D5</f>
        <v>3.9</v>
      </c>
      <c r="M5" s="1">
        <f>COUNTIFS(PlayData!$G:$G, "Pass Attempt", PlayData!$X:$X, $B5, PlayData!$T:$T, "TD")</f>
        <v>1</v>
      </c>
      <c r="N5" s="1">
        <f>COUNTIFS(PlayData!$G:$G, "Pass Attempt", PlayData!$X:$X, $B5, PlayData!$T:$T, "Fumble")</f>
        <v>0</v>
      </c>
      <c r="O5" s="1"/>
      <c r="P5" s="1">
        <f>COUNTIFS(PlayData!$G:$G, "Pass Attempt",PlayData!$X:$X,ReceivingData!$B5,PlayData!$W:$W, "&lt;=0")</f>
        <v>3</v>
      </c>
      <c r="Q5" s="1">
        <f>COUNTIFS(PlayData!$G:$G, "Pass Attempt",PlayData!$X:$X,ReceivingData!$B5,PlayData!$W:$W, "&gt;0",PlayData!$W:$W, "&lt;=9" )</f>
        <v>7</v>
      </c>
      <c r="R5" s="1">
        <f>COUNTIFS(PlayData!$G:$G, "Pass Attempt",PlayData!$X:$X,ReceivingData!$B5,PlayData!$W:$W, "&gt;=10",PlayData!$W:$W, "&lt;20" )</f>
        <v>4</v>
      </c>
      <c r="S5" s="1">
        <f>COUNTIFS(PlayData!$G:$G, "Pass Attempt",PlayData!$X:$X,ReceivingData!$B5,PlayData!$W:$W, "&gt;=20")</f>
        <v>5</v>
      </c>
      <c r="T5" s="1">
        <f>COUNTIFS(PlayData!$G:$G, "Pass Attempt",PlayData!$X:$X,ReceivingData!$B5,PlayData!$W:$W, "&lt;=0", PlayData!$H:$H, "L")</f>
        <v>3</v>
      </c>
      <c r="U5" s="1">
        <f>COUNTIFS(PlayData!$G:$G, "Pass Attempt",PlayData!$X:$X,ReceivingData!$B5,PlayData!$W:$W, "&lt;=0", PlayData!$H:$H, "M")</f>
        <v>0</v>
      </c>
      <c r="V5" s="1">
        <f>COUNTIFS(PlayData!$G:$G, "Pass Attempt",PlayData!$X:$X,ReceivingData!$B5,PlayData!$W:$W, "&lt;=0", PlayData!$H:$H, "R")</f>
        <v>0</v>
      </c>
      <c r="W5" s="1">
        <f>COUNTIFS(PlayData!$G:$G, "Pass Attempt",PlayData!$X:$X,ReceivingData!$B5,PlayData!$W:$W, "&gt;0",PlayData!$W:$W, "&lt;10",PlayData!$H:$H, "L")</f>
        <v>1</v>
      </c>
      <c r="X5" s="1">
        <f>COUNTIFS(PlayData!$G:$G, "Pass Attempt",PlayData!$X:$X,ReceivingData!$B5,PlayData!$W:$W, "&gt;0",PlayData!$W:$W, "&lt;10",PlayData!$H:$H, "M")</f>
        <v>3</v>
      </c>
      <c r="Y5" s="1">
        <f>COUNTIFS(PlayData!$G:$G, "Pass Attempt",PlayData!$X:$X,ReceivingData!$B5,PlayData!$W:$W, "&gt;0",PlayData!$W:$W, "&lt;10",PlayData!$H:$H, "R")</f>
        <v>3</v>
      </c>
      <c r="Z5" s="1">
        <f>COUNTIFS(PlayData!$G:$G, "Pass Attempt",PlayData!$X:$X,ReceivingData!$B5,PlayData!$W:$W, "&gt;=10",PlayData!$W:$W, "&lt;20",PlayData!$H:$H, "L")</f>
        <v>2</v>
      </c>
      <c r="AA5" s="1">
        <f>COUNTIFS(PlayData!$G:$G, "Pass Attempt",PlayData!$X:$X,ReceivingData!$B5,PlayData!$W:$W, "&gt;=10",PlayData!$W:$W, "&lt;20",PlayData!$H:$H, "M")</f>
        <v>1</v>
      </c>
      <c r="AB5" s="1">
        <f>COUNTIFS(PlayData!$G:$G, "Pass Attempt",PlayData!$X:$X,ReceivingData!$B5,PlayData!$W:$W, "&gt;=10",PlayData!$W:$W, "&lt;20",PlayData!$H:$H, "R")</f>
        <v>1</v>
      </c>
      <c r="AC5" s="1">
        <f>COUNTIFS(PlayData!$G:$G, "Pass Attempt",PlayData!$X:$X,ReceivingData!$B5,PlayData!$W:$W, "&gt;=20",PlayData!$H:$H, "L")</f>
        <v>4</v>
      </c>
      <c r="AD5" s="1">
        <f>COUNTIFS(PlayData!$G:$G, "Pass Attempt",PlayData!$X:$X,ReceivingData!$B5,PlayData!$W:$W, "&gt;=20",PlayData!$H:$H, "M")</f>
        <v>0</v>
      </c>
      <c r="AE5" s="1">
        <f>COUNTIFS(PlayData!$G:$G, "Pass Attempt",PlayData!$X:$X,ReceivingData!$B5,PlayData!$W:$W, "&gt;=20",PlayData!$H:$H, "R")</f>
        <v>1</v>
      </c>
      <c r="AF5" s="1" t="e">
        <f>COUNTIFS(PlayData!$G:$G, "Pass Attempt", PlayData!$U:$U, "Catch", PlayData!$X:$X, $B5,PlayData!#REF!, "3")</f>
        <v>#REF!</v>
      </c>
      <c r="AG5" s="1" t="e">
        <f>COUNTIFS(PlayData!$G:$G, "Pass Attempt",PlayData!$X:$X,ReceivingData!$B5,PlayData!#REF!, "3")</f>
        <v>#REF!</v>
      </c>
      <c r="AH5" s="1" t="e">
        <f>COUNTIFS(PlayData!$G:$G, "Pass Attempt", PlayData!#REF!, "Y",PlayData!$X:$X, $B5)</f>
        <v>#REF!</v>
      </c>
      <c r="AK5" s="1">
        <f>COUNTIFS(PlayData!$G:$G, "Pass Attempt",PlayData!$X:$X,ReceivingData!$B5,PlayData!$W:$W, "&lt;=0",PlayData!$U:$U, "Catch")</f>
        <v>3</v>
      </c>
      <c r="AL5" s="1">
        <f>COUNTIFS(PlayData!$G:$G, "Pass Attempt",PlayData!$X:$X,ReceivingData!$B5,PlayData!$W:$W, "&gt;0",PlayData!$W:$W, "&lt;10",PlayData!$U:$U, "Catch")</f>
        <v>4</v>
      </c>
      <c r="AM5" s="1">
        <f>COUNTIFS(PlayData!$G:$G, "Pass Attempt",PlayData!$X:$X,ReceivingData!$B5,PlayData!$W:$W, "&gt;=10",PlayData!$W:$W, "&lt;20",PlayData!$U:$U, "Catch")</f>
        <v>2</v>
      </c>
      <c r="AN5" s="1">
        <f>COUNTIFS(PlayData!$G:$G, "Pass Attempt",PlayData!$X:$X,ReceivingData!$B5,PlayData!$W:$W, "&gt;=20",PlayData!$U:$U, "Catch")</f>
        <v>1</v>
      </c>
      <c r="AO5" s="1">
        <f>COUNTIFS(PlayData!$G:$G, "Pass Attempt",PlayData!$X:$X,ReceivingData!$B5,PlayData!$W:$W, "&lt;=0", PlayData!$H:$H, "L",PlayData!$U:$U, "Catch")</f>
        <v>3</v>
      </c>
      <c r="AP5" s="1">
        <f>COUNTIFS(PlayData!$G:$G, "Pass Attempt",PlayData!$X:$X,ReceivingData!$B5,PlayData!$W:$W, "&lt;=0", PlayData!$H:$H, "M",PlayData!$U:$U, "Catch")</f>
        <v>0</v>
      </c>
      <c r="AQ5" s="1">
        <f>COUNTIFS(PlayData!$G:$G, "Pass Attempt",PlayData!$X:$X,ReceivingData!$B5,PlayData!$W:$W, "&lt;=0", PlayData!$H:$H, "R",PlayData!$U:$U, "Catch")</f>
        <v>0</v>
      </c>
      <c r="AR5" s="1">
        <f>COUNTIFS(PlayData!$G:$G, "Pass Attempt",PlayData!$X:$X,ReceivingData!$B5,PlayData!$W:$W, "&gt;0",PlayData!$W:$W, "&lt;10",PlayData!$H:$H, "L",PlayData!$U:$U, "Catch")</f>
        <v>1</v>
      </c>
      <c r="AS5" s="1">
        <f>COUNTIFS(PlayData!$G:$G, "Pass Attempt",PlayData!$X:$X,ReceivingData!$B5,PlayData!$W:$W, "&gt;0",PlayData!$W:$W, "&lt;10",PlayData!$H:$H, "M",PlayData!$U:$U, "Catch")</f>
        <v>2</v>
      </c>
      <c r="AT5" s="1">
        <f>COUNTIFS(PlayData!$G:$G, "Pass Attempt",PlayData!$X:$X,ReceivingData!$B5,PlayData!$W:$W, "&gt;0",PlayData!$W:$W, "&lt;10",PlayData!$H:$H, "R",PlayData!$U:$U, "Catch")</f>
        <v>1</v>
      </c>
      <c r="AU5" s="1">
        <f>COUNTIFS(PlayData!$G:$G, "Pass Attempt",PlayData!$X:$X,ReceivingData!$B5,PlayData!$W:$W, "&gt;=10",PlayData!$W:$W, "&lt;20",PlayData!$H:$H, "L",PlayData!$U:$U, "Catch")</f>
        <v>1</v>
      </c>
      <c r="AV5" s="1">
        <f>COUNTIFS(PlayData!$G:$G, "Pass Attempt",PlayData!$X:$X,ReceivingData!$B5,PlayData!$W:$W, "&gt;=10",PlayData!$W:$W, "&lt;20",PlayData!$H:$H, "M",PlayData!$U:$U, "Catch")</f>
        <v>0</v>
      </c>
      <c r="AW5" s="1">
        <f>COUNTIFS(PlayData!$G:$G, "Pass Attempt",PlayData!$X:$X,ReceivingData!$B5,PlayData!$W:$W, "&gt;=10",PlayData!$W:$W, "&lt;20",PlayData!$H:$H, "R",PlayData!$U:$U, "Catch")</f>
        <v>1</v>
      </c>
      <c r="AX5" s="1">
        <f>COUNTIFS(PlayData!$G:$G, "Pass Attempt",PlayData!$X:$X,ReceivingData!$B5,PlayData!$W:$W, "&gt;=20",PlayData!$H:$H, "L",PlayData!$U:$U, "Catch")</f>
        <v>1</v>
      </c>
      <c r="AY5" s="1">
        <f>COUNTIFS(PlayData!$G:$G, "Pass Attempt",PlayData!$X:$X,ReceivingData!$B5,PlayData!$W:$W, "&gt;=20",PlayData!$H:$H, "M",PlayData!$U:$U, "Catch")</f>
        <v>0</v>
      </c>
      <c r="AZ5" s="1">
        <f>COUNTIFS(PlayData!$G:$G, "Pass Attempt",PlayData!$X:$X,ReceivingData!$B5,PlayData!$W:$W, "&gt;=20",PlayData!$H:$H, "R",PlayData!$U:$U, "Catch")</f>
        <v>0</v>
      </c>
    </row>
    <row r="6" spans="1:52" x14ac:dyDescent="0.5">
      <c r="A6" t="s">
        <v>126</v>
      </c>
      <c r="B6" s="1">
        <v>4</v>
      </c>
      <c r="C6" s="1">
        <f>COUNTIFS(PlayData!$G:$G, "Pass Attempt",PlayData!$X:$X,ReceivingData!$B6)</f>
        <v>19</v>
      </c>
      <c r="D6" s="1">
        <f>COUNTIFS(PlayData!$G:$G, "Pass Attempt", PlayData!$U:$U, "Catch", PlayData!$X:$X, $B6)</f>
        <v>10</v>
      </c>
      <c r="E6" s="1">
        <f>COUNTIFS(PlayData!$G:$G, "Pass Attempt", PlayData!$U:$U, "Drop", PlayData!$X:$X, $B6)</f>
        <v>1</v>
      </c>
      <c r="F6" s="1">
        <f>SUMIFS(PlayData!$S:$S, PlayData!$G:$G, "Pass Attempt", PlayData!$U:$U, "Catch", PlayData!$X:$X,ReceivingData!$B6)</f>
        <v>132</v>
      </c>
      <c r="G6" s="1">
        <f>SUMIFS(PlayData!$W:$W, PlayData!$G:$G,"Pass Attempt", PlayData!$X:$X,$B6)</f>
        <v>242</v>
      </c>
      <c r="H6" s="1">
        <f>SUMIFS(PlayData!$W:$W, PlayData!$G:$G,"Pass Attempt", PlayData!$X:$X,$B6, PlayData!$U:$U, "Catch")</f>
        <v>86.5</v>
      </c>
      <c r="I6" s="4">
        <f>$G6/$C6</f>
        <v>12.736842105263158</v>
      </c>
      <c r="J6" s="4">
        <f>$H6/$D6</f>
        <v>8.65</v>
      </c>
      <c r="K6" s="1">
        <f>SUMIFS(PlayData!$AB:$AB, PlayData!$G:$G, "Pass Attempt", PlayData!$X:$X, $B6)</f>
        <v>45.5</v>
      </c>
      <c r="L6" s="1">
        <f>$K6/$D6</f>
        <v>4.55</v>
      </c>
      <c r="M6" s="1">
        <f>COUNTIFS(PlayData!$G:$G, "Pass Attempt", PlayData!$X:$X, $B6, PlayData!$T:$T, "TD")</f>
        <v>0</v>
      </c>
      <c r="N6" s="1">
        <f>COUNTIFS(PlayData!$G:$G, "Pass Attempt", PlayData!$X:$X, $B6, PlayData!$T:$T, "Fumble")</f>
        <v>0</v>
      </c>
      <c r="O6" s="1"/>
      <c r="P6" s="1">
        <f>COUNTIFS(PlayData!$G:$G, "Pass Attempt",PlayData!$X:$X,ReceivingData!$B6,PlayData!$W:$W, "&lt;=0")</f>
        <v>6</v>
      </c>
      <c r="Q6" s="1">
        <f>COUNTIFS(PlayData!$G:$G, "Pass Attempt",PlayData!$X:$X,ReceivingData!$B6,PlayData!$W:$W, "&gt;0",PlayData!$W:$W, "&lt;=9" )</f>
        <v>3</v>
      </c>
      <c r="R6" s="1">
        <f>COUNTIFS(PlayData!$G:$G, "Pass Attempt",PlayData!$X:$X,ReceivingData!$B6,PlayData!$W:$W, "&gt;=10",PlayData!$W:$W, "&lt;20" )</f>
        <v>1</v>
      </c>
      <c r="S6" s="1">
        <f>COUNTIFS(PlayData!$G:$G, "Pass Attempt",PlayData!$X:$X,ReceivingData!$B6,PlayData!$W:$W, "&gt;=20")</f>
        <v>9</v>
      </c>
      <c r="T6" s="1">
        <f>COUNTIFS(PlayData!$G:$G, "Pass Attempt",PlayData!$X:$X,ReceivingData!$B6,PlayData!$W:$W, "&lt;=0", PlayData!$H:$H, "L")</f>
        <v>3</v>
      </c>
      <c r="U6" s="1">
        <f>COUNTIFS(PlayData!$G:$G, "Pass Attempt",PlayData!$X:$X,ReceivingData!$B6,PlayData!$W:$W, "&lt;=0", PlayData!$H:$H, "M")</f>
        <v>0</v>
      </c>
      <c r="V6" s="1">
        <f>COUNTIFS(PlayData!$G:$G, "Pass Attempt",PlayData!$X:$X,ReceivingData!$B6,PlayData!$W:$W, "&lt;=0", PlayData!$H:$H, "R")</f>
        <v>3</v>
      </c>
      <c r="W6" s="1">
        <f>COUNTIFS(PlayData!$G:$G, "Pass Attempt",PlayData!$X:$X,ReceivingData!$B6,PlayData!$W:$W, "&gt;0",PlayData!$W:$W, "&lt;10",PlayData!$H:$H, "L")</f>
        <v>3</v>
      </c>
      <c r="X6" s="1">
        <f>COUNTIFS(PlayData!$G:$G, "Pass Attempt",PlayData!$X:$X,ReceivingData!$B6,PlayData!$W:$W, "&gt;0",PlayData!$W:$W, "&lt;10",PlayData!$H:$H, "M")</f>
        <v>0</v>
      </c>
      <c r="Y6" s="1">
        <f>COUNTIFS(PlayData!$G:$G, "Pass Attempt",PlayData!$X:$X,ReceivingData!$B6,PlayData!$W:$W, "&gt;0",PlayData!$W:$W, "&lt;10",PlayData!$H:$H, "R")</f>
        <v>0</v>
      </c>
      <c r="Z6" s="1">
        <f>COUNTIFS(PlayData!$G:$G, "Pass Attempt",PlayData!$X:$X,ReceivingData!$B6,PlayData!$W:$W, "&gt;=10",PlayData!$W:$W, "&lt;20",PlayData!$H:$H, "L")</f>
        <v>0</v>
      </c>
      <c r="AA6" s="1">
        <f>COUNTIFS(PlayData!$G:$G, "Pass Attempt",PlayData!$X:$X,ReceivingData!$B6,PlayData!$W:$W, "&gt;=10",PlayData!$W:$W, "&lt;20",PlayData!$H:$H, "M")</f>
        <v>1</v>
      </c>
      <c r="AB6" s="1">
        <f>COUNTIFS(PlayData!$G:$G, "Pass Attempt",PlayData!$X:$X,ReceivingData!$B6,PlayData!$W:$W, "&gt;=10",PlayData!$W:$W, "&lt;20",PlayData!$H:$H, "R")</f>
        <v>0</v>
      </c>
      <c r="AC6" s="1">
        <f>COUNTIFS(PlayData!$G:$G, "Pass Attempt",PlayData!$X:$X,ReceivingData!$B6,PlayData!$W:$W, "&gt;=20",PlayData!$H:$H, "L")</f>
        <v>1</v>
      </c>
      <c r="AD6" s="1">
        <f>COUNTIFS(PlayData!$G:$G, "Pass Attempt",PlayData!$X:$X,ReceivingData!$B6,PlayData!$W:$W, "&gt;=20",PlayData!$H:$H, "M")</f>
        <v>3</v>
      </c>
      <c r="AE6" s="1">
        <f>COUNTIFS(PlayData!$G:$G, "Pass Attempt",PlayData!$X:$X,ReceivingData!$B6,PlayData!$W:$W, "&gt;=20",PlayData!$H:$H, "R")</f>
        <v>5</v>
      </c>
      <c r="AF6" s="1" t="e">
        <f>COUNTIFS(PlayData!$G:$G, "Pass Attempt", PlayData!$U:$U, "Catch", PlayData!$X:$X, $B6,PlayData!#REF!, "3")</f>
        <v>#REF!</v>
      </c>
      <c r="AG6" s="1" t="e">
        <f>COUNTIFS(PlayData!$G:$G, "Pass Attempt",PlayData!$X:$X,ReceivingData!$B6,PlayData!#REF!, "3")</f>
        <v>#REF!</v>
      </c>
      <c r="AH6" s="1" t="e">
        <f>COUNTIFS(PlayData!$G:$G, "Pass Attempt", PlayData!#REF!, "Y",PlayData!$X:$X, $B6)</f>
        <v>#REF!</v>
      </c>
      <c r="AK6" s="1">
        <f>COUNTIFS(PlayData!$G:$G, "Pass Attempt",PlayData!$X:$X,ReceivingData!$B6,PlayData!$W:$W, "&lt;=0",PlayData!$U:$U, "Catch")</f>
        <v>4</v>
      </c>
      <c r="AL6" s="1">
        <f>COUNTIFS(PlayData!$G:$G, "Pass Attempt",PlayData!$X:$X,ReceivingData!$B6,PlayData!$W:$W, "&gt;0",PlayData!$W:$W, "&lt;10",PlayData!$U:$U, "Catch")</f>
        <v>2</v>
      </c>
      <c r="AM6" s="1">
        <f>COUNTIFS(PlayData!$G:$G, "Pass Attempt",PlayData!$X:$X,ReceivingData!$B6,PlayData!$W:$W, "&gt;=10",PlayData!$W:$W, "&lt;20",PlayData!$U:$U, "Catch")</f>
        <v>1</v>
      </c>
      <c r="AN6" s="1">
        <f>COUNTIFS(PlayData!$G:$G, "Pass Attempt",PlayData!$X:$X,ReceivingData!$B6,PlayData!$W:$W, "&gt;=20",PlayData!$U:$U, "Catch")</f>
        <v>3</v>
      </c>
      <c r="AO6" s="1">
        <f>COUNTIFS(PlayData!$G:$G, "Pass Attempt",PlayData!$X:$X,ReceivingData!$B6,PlayData!$W:$W, "&lt;=0", PlayData!$H:$H, "L",PlayData!$U:$U, "Catch")</f>
        <v>2</v>
      </c>
      <c r="AP6" s="1">
        <f>COUNTIFS(PlayData!$G:$G, "Pass Attempt",PlayData!$X:$X,ReceivingData!$B6,PlayData!$W:$W, "&lt;=0", PlayData!$H:$H, "M",PlayData!$U:$U, "Catch")</f>
        <v>0</v>
      </c>
      <c r="AQ6" s="1">
        <f>COUNTIFS(PlayData!$G:$G, "Pass Attempt",PlayData!$X:$X,ReceivingData!$B6,PlayData!$W:$W, "&lt;=0", PlayData!$H:$H, "R",PlayData!$U:$U, "Catch")</f>
        <v>2</v>
      </c>
      <c r="AR6" s="1">
        <f>COUNTIFS(PlayData!$G:$G, "Pass Attempt",PlayData!$X:$X,ReceivingData!$B6,PlayData!$W:$W, "&gt;0",PlayData!$W:$W, "&lt;10",PlayData!$H:$H, "L",PlayData!$U:$U, "Catch")</f>
        <v>2</v>
      </c>
      <c r="AS6" s="1">
        <f>COUNTIFS(PlayData!$G:$G, "Pass Attempt",PlayData!$X:$X,ReceivingData!$B6,PlayData!$W:$W, "&gt;0",PlayData!$W:$W, "&lt;10",PlayData!$H:$H, "M",PlayData!$U:$U, "Catch")</f>
        <v>0</v>
      </c>
      <c r="AT6" s="1">
        <f>COUNTIFS(PlayData!$G:$G, "Pass Attempt",PlayData!$X:$X,ReceivingData!$B6,PlayData!$W:$W, "&gt;0",PlayData!$W:$W, "&lt;10",PlayData!$H:$H, "R",PlayData!$U:$U, "Catch")</f>
        <v>0</v>
      </c>
      <c r="AU6" s="1">
        <f>COUNTIFS(PlayData!$G:$G, "Pass Attempt",PlayData!$X:$X,ReceivingData!$B6,PlayData!$W:$W, "&gt;=10",PlayData!$W:$W, "&lt;20",PlayData!$H:$H, "L",PlayData!$U:$U, "Catch")</f>
        <v>0</v>
      </c>
      <c r="AV6" s="1">
        <f>COUNTIFS(PlayData!$G:$G, "Pass Attempt",PlayData!$X:$X,ReceivingData!$B6,PlayData!$W:$W, "&gt;=10",PlayData!$W:$W, "&lt;20",PlayData!$H:$H, "M",PlayData!$U:$U, "Catch")</f>
        <v>1</v>
      </c>
      <c r="AW6" s="1">
        <f>COUNTIFS(PlayData!$G:$G, "Pass Attempt",PlayData!$X:$X,ReceivingData!$B6,PlayData!$W:$W, "&gt;=10",PlayData!$W:$W, "&lt;20",PlayData!$H:$H, "R",PlayData!$U:$U, "Catch")</f>
        <v>0</v>
      </c>
      <c r="AX6" s="1">
        <f>COUNTIFS(PlayData!$G:$G, "Pass Attempt",PlayData!$X:$X,ReceivingData!$B6,PlayData!$W:$W, "&gt;=20",PlayData!$H:$H, "L",PlayData!$U:$U, "Catch")</f>
        <v>1</v>
      </c>
      <c r="AY6" s="1">
        <f>COUNTIFS(PlayData!$G:$G, "Pass Attempt",PlayData!$X:$X,ReceivingData!$B6,PlayData!$W:$W, "&gt;=20",PlayData!$H:$H, "M",PlayData!$U:$U, "Catch")</f>
        <v>1</v>
      </c>
      <c r="AZ6" s="1">
        <f>COUNTIFS(PlayData!$G:$G, "Pass Attempt",PlayData!$X:$X,ReceivingData!$B6,PlayData!$W:$W, "&gt;=20",PlayData!$H:$H, "R",PlayData!$U:$U, "Catch")</f>
        <v>1</v>
      </c>
    </row>
    <row r="7" spans="1:52" x14ac:dyDescent="0.5">
      <c r="A7" t="s">
        <v>143</v>
      </c>
      <c r="B7" s="1">
        <v>1</v>
      </c>
      <c r="C7" s="1">
        <f>COUNTIFS(PlayData!$G:$G, "Pass Attempt",PlayData!$X:$X,ReceivingData!$B7)</f>
        <v>9</v>
      </c>
      <c r="D7" s="1">
        <f>COUNTIFS(PlayData!$G:$G, "Pass Attempt", PlayData!$U:$U, "Catch", PlayData!$X:$X, $B7)</f>
        <v>8</v>
      </c>
      <c r="E7" s="1">
        <f>COUNTIFS(PlayData!$G:$G, "Pass Attempt", PlayData!$U:$U, "Drop", PlayData!$X:$X, $B7)</f>
        <v>0</v>
      </c>
      <c r="F7" s="1">
        <f>SUMIFS(PlayData!$S:$S, PlayData!$G:$G, "Pass Attempt", PlayData!$U:$U, "Catch", PlayData!$X:$X,ReceivingData!$B7)</f>
        <v>68</v>
      </c>
      <c r="G7" s="1">
        <f>SUMIFS(PlayData!$W:$W, PlayData!$G:$G,"Pass Attempt", PlayData!$X:$X,$B7)</f>
        <v>-12</v>
      </c>
      <c r="H7" s="1">
        <f>SUMIFS(PlayData!$W:$W, PlayData!$G:$G,"Pass Attempt", PlayData!$X:$X,$B7, PlayData!$U:$U, "Catch")</f>
        <v>-12</v>
      </c>
      <c r="I7" s="4">
        <f t="shared" ref="I7:I8" si="0">$G7/$C7</f>
        <v>-1.3333333333333333</v>
      </c>
      <c r="J7" s="4">
        <f t="shared" ref="J7:J8" si="1">$H7/$D7</f>
        <v>-1.5</v>
      </c>
      <c r="K7" s="1">
        <f>SUMIFS(PlayData!$AB:$AB, PlayData!$G:$G, "Pass Attempt", PlayData!$X:$X, $B7)</f>
        <v>80</v>
      </c>
      <c r="L7" s="1">
        <f t="shared" ref="L7:L8" si="2">$K7/$D7</f>
        <v>10</v>
      </c>
      <c r="M7" s="1">
        <f>COUNTIFS(PlayData!$G:$G, "Pass Attempt", PlayData!$X:$X, $B7, PlayData!$T:$T, "TD")</f>
        <v>0</v>
      </c>
      <c r="N7" s="1">
        <f>COUNTIFS(PlayData!$G:$G, "Pass Attempt", PlayData!$X:$X, $B7, PlayData!$T:$T, "Fumble")</f>
        <v>0</v>
      </c>
      <c r="O7" s="1"/>
      <c r="P7" s="1">
        <f>COUNTIFS(PlayData!$G:$G, "Pass Attempt",PlayData!$X:$X,ReceivingData!$B7,PlayData!$W:$W, "&lt;=0")</f>
        <v>7</v>
      </c>
      <c r="Q7" s="1">
        <f>COUNTIFS(PlayData!$G:$G, "Pass Attempt",PlayData!$X:$X,ReceivingData!$B7,PlayData!$W:$W, "&gt;0",PlayData!$W:$W, "&lt;=9" )</f>
        <v>2</v>
      </c>
      <c r="R7" s="1">
        <f>COUNTIFS(PlayData!$G:$G, "Pass Attempt",PlayData!$X:$X,ReceivingData!$B7,PlayData!$W:$W, "&gt;=10",PlayData!$W:$W, "&lt;20" )</f>
        <v>0</v>
      </c>
      <c r="S7" s="1">
        <f>COUNTIFS(PlayData!$G:$G, "Pass Attempt",PlayData!$X:$X,ReceivingData!$B7,PlayData!$W:$W, "&gt;=20")</f>
        <v>0</v>
      </c>
      <c r="T7" s="1">
        <f>COUNTIFS(PlayData!$G:$G, "Pass Attempt",PlayData!$X:$X,ReceivingData!$B7,PlayData!$W:$W, "&lt;=0", PlayData!$H:$H, "L")</f>
        <v>0</v>
      </c>
      <c r="U7" s="1">
        <f>COUNTIFS(PlayData!$G:$G, "Pass Attempt",PlayData!$X:$X,ReceivingData!$B7,PlayData!$W:$W, "&lt;=0", PlayData!$H:$H, "M")</f>
        <v>1</v>
      </c>
      <c r="V7" s="1">
        <f>COUNTIFS(PlayData!$G:$G, "Pass Attempt",PlayData!$X:$X,ReceivingData!$B7,PlayData!$W:$W, "&lt;=0", PlayData!$H:$H, "R")</f>
        <v>6</v>
      </c>
      <c r="W7" s="1">
        <f>COUNTIFS(PlayData!$G:$G, "Pass Attempt",PlayData!$X:$X,ReceivingData!$B7,PlayData!$W:$W, "&gt;0",PlayData!$W:$W, "&lt;10",PlayData!$H:$H, "L")</f>
        <v>2</v>
      </c>
      <c r="X7" s="1">
        <f>COUNTIFS(PlayData!$G:$G, "Pass Attempt",PlayData!$X:$X,ReceivingData!$B7,PlayData!$W:$W, "&gt;0",PlayData!$W:$W, "&lt;10",PlayData!$H:$H, "M")</f>
        <v>0</v>
      </c>
      <c r="Y7" s="1">
        <f>COUNTIFS(PlayData!$G:$G, "Pass Attempt",PlayData!$X:$X,ReceivingData!$B7,PlayData!$W:$W, "&gt;0",PlayData!$W:$W, "&lt;10",PlayData!$H:$H, "R")</f>
        <v>0</v>
      </c>
      <c r="Z7" s="1">
        <f>COUNTIFS(PlayData!$G:$G, "Pass Attempt",PlayData!$X:$X,ReceivingData!$B7,PlayData!$W:$W, "&gt;=10",PlayData!$W:$W, "&lt;20",PlayData!$H:$H, "L")</f>
        <v>0</v>
      </c>
      <c r="AA7" s="1">
        <f>COUNTIFS(PlayData!$G:$G, "Pass Attempt",PlayData!$X:$X,ReceivingData!$B7,PlayData!$W:$W, "&gt;=10",PlayData!$W:$W, "&lt;20",PlayData!$H:$H, "M")</f>
        <v>0</v>
      </c>
      <c r="AB7" s="1">
        <f>COUNTIFS(PlayData!$G:$G, "Pass Attempt",PlayData!$X:$X,ReceivingData!$B7,PlayData!$W:$W, "&gt;=10",PlayData!$W:$W, "&lt;20",PlayData!$H:$H, "R")</f>
        <v>0</v>
      </c>
      <c r="AC7" s="1">
        <f>COUNTIFS(PlayData!$G:$G, "Pass Attempt",PlayData!$X:$X,ReceivingData!$B7,PlayData!$W:$W, "&gt;=20",PlayData!$H:$H, "L")</f>
        <v>0</v>
      </c>
      <c r="AD7" s="1">
        <f>COUNTIFS(PlayData!$G:$G, "Pass Attempt",PlayData!$X:$X,ReceivingData!$B7,PlayData!$W:$W, "&gt;=20",PlayData!$H:$H, "M")</f>
        <v>0</v>
      </c>
      <c r="AE7" s="1">
        <f>COUNTIFS(PlayData!$G:$G, "Pass Attempt",PlayData!$X:$X,ReceivingData!$B7,PlayData!$W:$W, "&gt;=20",PlayData!$H:$H, "R")</f>
        <v>0</v>
      </c>
      <c r="AF7" s="1" t="e">
        <f>COUNTIFS(PlayData!$G:$G, "Pass Attempt", PlayData!$U:$U, "Catch", PlayData!$X:$X, $B7,PlayData!#REF!, "3")</f>
        <v>#REF!</v>
      </c>
      <c r="AG7" s="1" t="e">
        <f>COUNTIFS(PlayData!$G:$G, "Pass Attempt",PlayData!$X:$X,ReceivingData!$B7,PlayData!#REF!, "3")</f>
        <v>#REF!</v>
      </c>
      <c r="AH7" s="1" t="e">
        <f>COUNTIFS(PlayData!$G:$G, "Pass Attempt", PlayData!#REF!, "Y",PlayData!$X:$X, $B7)</f>
        <v>#REF!</v>
      </c>
      <c r="AK7" s="1">
        <f>COUNTIFS(PlayData!$G:$G, "Pass Attempt",PlayData!$X:$X,ReceivingData!$B7,PlayData!$W:$W, "&lt;=0",PlayData!$U:$U, "Catch")</f>
        <v>6</v>
      </c>
      <c r="AL7" s="1">
        <f>COUNTIFS(PlayData!$G:$G, "Pass Attempt",PlayData!$X:$X,ReceivingData!$B7,PlayData!$W:$W, "&gt;0",PlayData!$W:$W, "&lt;10",PlayData!$U:$U, "Catch")</f>
        <v>2</v>
      </c>
      <c r="AM7" s="1">
        <f>COUNTIFS(PlayData!$G:$G, "Pass Attempt",PlayData!$X:$X,ReceivingData!$B7,PlayData!$W:$W, "&gt;=10",PlayData!$W:$W, "&lt;20",PlayData!$U:$U, "Catch")</f>
        <v>0</v>
      </c>
      <c r="AN7" s="1">
        <f>COUNTIFS(PlayData!$G:$G, "Pass Attempt",PlayData!$X:$X,ReceivingData!$B7,PlayData!$W:$W, "&gt;=20",PlayData!$U:$U, "Catch")</f>
        <v>0</v>
      </c>
      <c r="AO7" s="1">
        <f>COUNTIFS(PlayData!$G:$G, "Pass Attempt",PlayData!$X:$X,ReceivingData!$B7,PlayData!$W:$W, "&lt;=0", PlayData!$H:$H, "L",PlayData!$U:$U, "Catch")</f>
        <v>0</v>
      </c>
      <c r="AP7" s="1">
        <f>COUNTIFS(PlayData!$G:$G, "Pass Attempt",PlayData!$X:$X,ReceivingData!$B7,PlayData!$W:$W, "&lt;=0", PlayData!$H:$H, "M",PlayData!$U:$U, "Catch")</f>
        <v>1</v>
      </c>
      <c r="AQ7" s="1">
        <f>COUNTIFS(PlayData!$G:$G, "Pass Attempt",PlayData!$X:$X,ReceivingData!$B7,PlayData!$W:$W, "&lt;=0", PlayData!$H:$H, "R",PlayData!$U:$U, "Catch")</f>
        <v>5</v>
      </c>
      <c r="AR7" s="1">
        <f>COUNTIFS(PlayData!$G:$G, "Pass Attempt",PlayData!$X:$X,ReceivingData!$B7,PlayData!$W:$W, "&gt;0",PlayData!$W:$W, "&lt;10",PlayData!$H:$H, "L",PlayData!$U:$U, "Catch")</f>
        <v>2</v>
      </c>
      <c r="AS7" s="1">
        <f>COUNTIFS(PlayData!$G:$G, "Pass Attempt",PlayData!$X:$X,ReceivingData!$B7,PlayData!$W:$W, "&gt;0",PlayData!$W:$W, "&lt;10",PlayData!$H:$H, "M",PlayData!$U:$U, "Catch")</f>
        <v>0</v>
      </c>
      <c r="AT7" s="1">
        <f>COUNTIFS(PlayData!$G:$G, "Pass Attempt",PlayData!$X:$X,ReceivingData!$B7,PlayData!$W:$W, "&gt;0",PlayData!$W:$W, "&lt;10",PlayData!$H:$H, "R",PlayData!$U:$U, "Catch")</f>
        <v>0</v>
      </c>
      <c r="AU7" s="1">
        <f>COUNTIFS(PlayData!$G:$G, "Pass Attempt",PlayData!$X:$X,ReceivingData!$B7,PlayData!$W:$W, "&gt;=10",PlayData!$W:$W, "&lt;20",PlayData!$H:$H, "L",PlayData!$U:$U, "Catch")</f>
        <v>0</v>
      </c>
      <c r="AV7" s="1">
        <f>COUNTIFS(PlayData!$G:$G, "Pass Attempt",PlayData!$X:$X,ReceivingData!$B7,PlayData!$W:$W, "&gt;=10",PlayData!$W:$W, "&lt;20",PlayData!$H:$H, "M",PlayData!$U:$U, "Catch")</f>
        <v>0</v>
      </c>
      <c r="AW7" s="1">
        <f>COUNTIFS(PlayData!$G:$G, "Pass Attempt",PlayData!$X:$X,ReceivingData!$B7,PlayData!$W:$W, "&gt;=10",PlayData!$W:$W, "&lt;20",PlayData!$H:$H, "R",PlayData!$U:$U, "Catch")</f>
        <v>0</v>
      </c>
      <c r="AX7" s="1">
        <f>COUNTIFS(PlayData!$G:$G, "Pass Attempt",PlayData!$X:$X,ReceivingData!$B7,PlayData!$W:$W, "&gt;=20",PlayData!$H:$H, "L",PlayData!$U:$U, "Catch")</f>
        <v>0</v>
      </c>
      <c r="AY7" s="1">
        <f>COUNTIFS(PlayData!$G:$G, "Pass Attempt",PlayData!$X:$X,ReceivingData!$B7,PlayData!$W:$W, "&gt;=20",PlayData!$H:$H, "M",PlayData!$U:$U, "Catch")</f>
        <v>0</v>
      </c>
      <c r="AZ7" s="1">
        <f>COUNTIFS(PlayData!$G:$G, "Pass Attempt",PlayData!$X:$X,ReceivingData!$B7,PlayData!$W:$W, "&gt;=20",PlayData!$H:$H, "R",PlayData!$U:$U, "Catch")</f>
        <v>0</v>
      </c>
    </row>
    <row r="8" spans="1:52" x14ac:dyDescent="0.5">
      <c r="A8" t="s">
        <v>120</v>
      </c>
      <c r="B8" s="1">
        <v>34</v>
      </c>
      <c r="C8" s="1">
        <f>COUNTIFS(PlayData!$G:$G, "Pass Attempt",PlayData!$X:$X,ReceivingData!$B8)</f>
        <v>16</v>
      </c>
      <c r="D8" s="1">
        <f>COUNTIFS(PlayData!$G:$G, "Pass Attempt", PlayData!$U:$U, "Catch", PlayData!$X:$X, $B8)</f>
        <v>14</v>
      </c>
      <c r="E8" s="1">
        <f>COUNTIFS(PlayData!$G:$G, "Pass Attempt", PlayData!$U:$U, "Drop", PlayData!$X:$X, $B8)</f>
        <v>1</v>
      </c>
      <c r="F8" s="1">
        <f>SUMIFS(PlayData!$S:$S, PlayData!$G:$G, "Pass Attempt", PlayData!$U:$U, "Catch", PlayData!$X:$X,ReceivingData!$B8)</f>
        <v>79</v>
      </c>
      <c r="G8" s="1">
        <f>SUMIFS(PlayData!$W:$W, PlayData!$G:$G,"Pass Attempt", PlayData!$X:$X,$B8)</f>
        <v>-12</v>
      </c>
      <c r="H8" s="1">
        <f>SUMIFS(PlayData!$W:$W, PlayData!$G:$G,"Pass Attempt", PlayData!$X:$X,$B8, PlayData!$U:$U, "Catch")</f>
        <v>-8</v>
      </c>
      <c r="I8" s="4">
        <f t="shared" si="0"/>
        <v>-0.75</v>
      </c>
      <c r="J8" s="4">
        <f t="shared" si="1"/>
        <v>-0.5714285714285714</v>
      </c>
      <c r="K8" s="1">
        <f>SUMIFS(PlayData!$AB:$AB, PlayData!$G:$G, "Pass Attempt", PlayData!$X:$X, $B8)</f>
        <v>87</v>
      </c>
      <c r="L8" s="1">
        <f t="shared" si="2"/>
        <v>6.2142857142857144</v>
      </c>
      <c r="M8" s="1">
        <f>COUNTIFS(PlayData!$G:$G, "Pass Attempt", PlayData!$X:$X, $B8, PlayData!$T:$T, "TD")</f>
        <v>0</v>
      </c>
      <c r="N8" s="1">
        <f>COUNTIFS(PlayData!$G:$G, "Pass Attempt", PlayData!$X:$X, $B8, PlayData!$T:$T, "Fumble")</f>
        <v>0</v>
      </c>
      <c r="O8" s="1"/>
      <c r="P8" s="1">
        <f>COUNTIFS(PlayData!$G:$G, "Pass Attempt",PlayData!$X:$X,ReceivingData!$B8,PlayData!$W:$W, "&lt;=0")</f>
        <v>9</v>
      </c>
      <c r="Q8" s="1">
        <f>COUNTIFS(PlayData!$G:$G, "Pass Attempt",PlayData!$X:$X,ReceivingData!$B8,PlayData!$W:$W, "&gt;0",PlayData!$W:$W, "&lt;=9" )</f>
        <v>7</v>
      </c>
      <c r="R8" s="1">
        <f>COUNTIFS(PlayData!$G:$G, "Pass Attempt",PlayData!$X:$X,ReceivingData!$B8,PlayData!$W:$W, "&gt;=10",PlayData!$W:$W, "&lt;20" )</f>
        <v>0</v>
      </c>
      <c r="S8" s="1">
        <f>COUNTIFS(PlayData!$G:$G, "Pass Attempt",PlayData!$X:$X,ReceivingData!$B8,PlayData!$W:$W, "&gt;=20")</f>
        <v>0</v>
      </c>
      <c r="T8" s="1">
        <f>COUNTIFS(PlayData!$G:$G, "Pass Attempt",PlayData!$X:$X,ReceivingData!$B8,PlayData!$W:$W, "&lt;=0", PlayData!$H:$H, "L")</f>
        <v>5</v>
      </c>
      <c r="U8" s="1">
        <f>COUNTIFS(PlayData!$G:$G, "Pass Attempt",PlayData!$X:$X,ReceivingData!$B8,PlayData!$W:$W, "&lt;=0", PlayData!$H:$H, "M")</f>
        <v>3</v>
      </c>
      <c r="V8" s="1">
        <f>COUNTIFS(PlayData!$G:$G, "Pass Attempt",PlayData!$X:$X,ReceivingData!$B8,PlayData!$W:$W, "&lt;=0", PlayData!$H:$H, "R")</f>
        <v>1</v>
      </c>
      <c r="W8" s="1">
        <f>COUNTIFS(PlayData!$G:$G, "Pass Attempt",PlayData!$X:$X,ReceivingData!$B8,PlayData!$W:$W, "&gt;0",PlayData!$W:$W, "&lt;10",PlayData!$H:$H, "L")</f>
        <v>2</v>
      </c>
      <c r="X8" s="1">
        <f>COUNTIFS(PlayData!$G:$G, "Pass Attempt",PlayData!$X:$X,ReceivingData!$B8,PlayData!$W:$W, "&gt;0",PlayData!$W:$W, "&lt;10",PlayData!$H:$H, "M")</f>
        <v>3</v>
      </c>
      <c r="Y8" s="1">
        <f>COUNTIFS(PlayData!$G:$G, "Pass Attempt",PlayData!$X:$X,ReceivingData!$B8,PlayData!$W:$W, "&gt;0",PlayData!$W:$W, "&lt;10",PlayData!$H:$H, "R")</f>
        <v>2</v>
      </c>
      <c r="Z8" s="1">
        <f>COUNTIFS(PlayData!$G:$G, "Pass Attempt",PlayData!$X:$X,ReceivingData!$B8,PlayData!$W:$W, "&gt;=10",PlayData!$W:$W, "&lt;20",PlayData!$H:$H, "L")</f>
        <v>0</v>
      </c>
      <c r="AA8" s="1">
        <f>COUNTIFS(PlayData!$G:$G, "Pass Attempt",PlayData!$X:$X,ReceivingData!$B8,PlayData!$W:$W, "&gt;=10",PlayData!$W:$W, "&lt;20",PlayData!$H:$H, "M")</f>
        <v>0</v>
      </c>
      <c r="AB8" s="1">
        <f>COUNTIFS(PlayData!$G:$G, "Pass Attempt",PlayData!$X:$X,ReceivingData!$B8,PlayData!$W:$W, "&gt;=10",PlayData!$W:$W, "&lt;20",PlayData!$H:$H, "R")</f>
        <v>0</v>
      </c>
      <c r="AC8" s="1">
        <f>COUNTIFS(PlayData!$G:$G, "Pass Attempt",PlayData!$X:$X,ReceivingData!$B8,PlayData!$W:$W, "&gt;=20",PlayData!$H:$H, "L")</f>
        <v>0</v>
      </c>
      <c r="AD8" s="1">
        <f>COUNTIFS(PlayData!$G:$G, "Pass Attempt",PlayData!$X:$X,ReceivingData!$B8,PlayData!$W:$W, "&gt;=20",PlayData!$H:$H, "M")</f>
        <v>0</v>
      </c>
      <c r="AE8" s="1">
        <f>COUNTIFS(PlayData!$G:$G, "Pass Attempt",PlayData!$X:$X,ReceivingData!$B8,PlayData!$W:$W, "&gt;=20",PlayData!$H:$H, "R")</f>
        <v>0</v>
      </c>
      <c r="AF8" s="1" t="e">
        <f>COUNTIFS(PlayData!$G:$G, "Pass Attempt", PlayData!$U:$U, "Catch", PlayData!$X:$X, $B8,PlayData!#REF!, "3")</f>
        <v>#REF!</v>
      </c>
      <c r="AG8" s="1" t="e">
        <f>COUNTIFS(PlayData!$G:$G, "Pass Attempt",PlayData!$X:$X,ReceivingData!$B8,PlayData!#REF!, "3")</f>
        <v>#REF!</v>
      </c>
      <c r="AH8" s="1" t="e">
        <f>COUNTIFS(PlayData!$G:$G, "Pass Attempt", PlayData!#REF!, "Y",PlayData!$X:$X, $B8)</f>
        <v>#REF!</v>
      </c>
      <c r="AK8" s="1">
        <f>COUNTIFS(PlayData!$G:$G, "Pass Attempt",PlayData!$X:$X,ReceivingData!$B8,PlayData!$W:$W, "&lt;=0",PlayData!$U:$U, "Catch")</f>
        <v>7</v>
      </c>
      <c r="AL8" s="1">
        <f>COUNTIFS(PlayData!$G:$G, "Pass Attempt",PlayData!$X:$X,ReceivingData!$B8,PlayData!$W:$W, "&gt;0",PlayData!$W:$W, "&lt;10",PlayData!$U:$U, "Catch")</f>
        <v>7</v>
      </c>
      <c r="AM8" s="1">
        <f>COUNTIFS(PlayData!$G:$G, "Pass Attempt",PlayData!$X:$X,ReceivingData!$B8,PlayData!$W:$W, "&gt;=10",PlayData!$W:$W, "&lt;20",PlayData!$U:$U, "Catch")</f>
        <v>0</v>
      </c>
      <c r="AN8" s="1">
        <f>COUNTIFS(PlayData!$G:$G, "Pass Attempt",PlayData!$X:$X,ReceivingData!$B8,PlayData!$W:$W, "&gt;=20",PlayData!$U:$U, "Catch")</f>
        <v>0</v>
      </c>
      <c r="AO8" s="1">
        <f>COUNTIFS(PlayData!$G:$G, "Pass Attempt",PlayData!$X:$X,ReceivingData!$B8,PlayData!$W:$W, "&lt;=0", PlayData!$H:$H, "L",PlayData!$U:$U, "Catch")</f>
        <v>5</v>
      </c>
      <c r="AP8" s="1">
        <f>COUNTIFS(PlayData!$G:$G, "Pass Attempt",PlayData!$X:$X,ReceivingData!$B8,PlayData!$W:$W, "&lt;=0", PlayData!$H:$H, "M",PlayData!$U:$U, "Catch")</f>
        <v>1</v>
      </c>
      <c r="AQ8" s="1">
        <f>COUNTIFS(PlayData!$G:$G, "Pass Attempt",PlayData!$X:$X,ReceivingData!$B8,PlayData!$W:$W, "&lt;=0", PlayData!$H:$H, "R",PlayData!$U:$U, "Catch")</f>
        <v>1</v>
      </c>
      <c r="AR8" s="1">
        <f>COUNTIFS(PlayData!$G:$G, "Pass Attempt",PlayData!$X:$X,ReceivingData!$B8,PlayData!$W:$W, "&gt;0",PlayData!$W:$W, "&lt;10",PlayData!$H:$H, "L",PlayData!$U:$U, "Catch")</f>
        <v>2</v>
      </c>
      <c r="AS8" s="1">
        <f>COUNTIFS(PlayData!$G:$G, "Pass Attempt",PlayData!$X:$X,ReceivingData!$B8,PlayData!$W:$W, "&gt;0",PlayData!$W:$W, "&lt;10",PlayData!$H:$H, "M",PlayData!$U:$U, "Catch")</f>
        <v>3</v>
      </c>
      <c r="AT8" s="1">
        <f>COUNTIFS(PlayData!$G:$G, "Pass Attempt",PlayData!$X:$X,ReceivingData!$B8,PlayData!$W:$W, "&gt;0",PlayData!$W:$W, "&lt;10",PlayData!$H:$H, "R",PlayData!$U:$U, "Catch")</f>
        <v>2</v>
      </c>
      <c r="AU8" s="1">
        <f>COUNTIFS(PlayData!$G:$G, "Pass Attempt",PlayData!$X:$X,ReceivingData!$B8,PlayData!$W:$W, "&gt;=10",PlayData!$W:$W, "&lt;20",PlayData!$H:$H, "L",PlayData!$U:$U, "Catch")</f>
        <v>0</v>
      </c>
      <c r="AV8" s="1">
        <f>COUNTIFS(PlayData!$G:$G, "Pass Attempt",PlayData!$X:$X,ReceivingData!$B8,PlayData!$W:$W, "&gt;=10",PlayData!$W:$W, "&lt;20",PlayData!$H:$H, "M",PlayData!$U:$U, "Catch")</f>
        <v>0</v>
      </c>
      <c r="AW8" s="1">
        <f>COUNTIFS(PlayData!$G:$G, "Pass Attempt",PlayData!$X:$X,ReceivingData!$B8,PlayData!$W:$W, "&gt;=10",PlayData!$W:$W, "&lt;20",PlayData!$H:$H, "R",PlayData!$U:$U, "Catch")</f>
        <v>0</v>
      </c>
      <c r="AX8" s="1">
        <f>COUNTIFS(PlayData!$G:$G, "Pass Attempt",PlayData!$X:$X,ReceivingData!$B8,PlayData!$W:$W, "&gt;=20",PlayData!$H:$H, "L",PlayData!$U:$U, "Catch")</f>
        <v>0</v>
      </c>
      <c r="AY8" s="1">
        <f>COUNTIFS(PlayData!$G:$G, "Pass Attempt",PlayData!$X:$X,ReceivingData!$B8,PlayData!$W:$W, "&gt;=20",PlayData!$H:$H, "M",PlayData!$U:$U, "Catch")</f>
        <v>0</v>
      </c>
      <c r="AZ8" s="1">
        <f>COUNTIFS(PlayData!$G:$G, "Pass Attempt",PlayData!$X:$X,ReceivingData!$B8,PlayData!$W:$W, "&gt;=20",PlayData!$H:$H, "R",PlayData!$U:$U, "Catch")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BACA-9F59-428A-B928-373FECDC794A}">
  <dimension ref="A1:E60"/>
  <sheetViews>
    <sheetView topLeftCell="A31" workbookViewId="0">
      <selection activeCell="G55" sqref="G55"/>
    </sheetView>
  </sheetViews>
  <sheetFormatPr defaultRowHeight="14.35" x14ac:dyDescent="0.5"/>
  <cols>
    <col min="1" max="1" width="19.52734375" style="3" bestFit="1" customWidth="1"/>
    <col min="2" max="2" width="10.234375" bestFit="1" customWidth="1"/>
    <col min="3" max="5" width="9.234375" bestFit="1" customWidth="1"/>
  </cols>
  <sheetData>
    <row r="1" spans="1:5" x14ac:dyDescent="0.5">
      <c r="B1" s="3">
        <v>1</v>
      </c>
      <c r="C1" s="3">
        <v>2</v>
      </c>
      <c r="D1" s="3">
        <v>3</v>
      </c>
      <c r="E1" s="3">
        <v>4</v>
      </c>
    </row>
    <row r="2" spans="1:5" x14ac:dyDescent="0.5">
      <c r="A2" s="3" t="s">
        <v>77</v>
      </c>
      <c r="B2" s="13" t="e">
        <f>COUNTIFS(PlayData!#REF!, B$1)</f>
        <v>#REF!</v>
      </c>
      <c r="C2" s="13" t="e">
        <f>COUNTIFS(PlayData!#REF!, C$1)</f>
        <v>#REF!</v>
      </c>
      <c r="D2" s="13" t="e">
        <f>COUNTIFS(PlayData!#REF!, D$1)</f>
        <v>#REF!</v>
      </c>
      <c r="E2" s="13" t="e">
        <f>COUNTIFS(PlayData!#REF!, E$1)</f>
        <v>#REF!</v>
      </c>
    </row>
    <row r="3" spans="1:5" x14ac:dyDescent="0.5">
      <c r="A3" s="3" t="s">
        <v>78</v>
      </c>
      <c r="B3" s="13" t="e">
        <f>SUMIFS(PlayData!$S:$S, PlayData!#REF!, B$1)</f>
        <v>#REF!</v>
      </c>
      <c r="C3" s="13" t="e">
        <f>SUMIFS(PlayData!$S:$S, PlayData!#REF!, C$1)</f>
        <v>#REF!</v>
      </c>
      <c r="D3" s="13" t="e">
        <f>SUMIFS(PlayData!$S:$S, PlayData!#REF!, D$1)</f>
        <v>#REF!</v>
      </c>
      <c r="E3" s="13" t="e">
        <f>SUMIFS(PlayData!$S:$S, PlayData!#REF!, E$1)</f>
        <v>#REF!</v>
      </c>
    </row>
    <row r="4" spans="1:5" x14ac:dyDescent="0.5">
      <c r="A4" s="3" t="s">
        <v>144</v>
      </c>
      <c r="B4" s="14" t="e">
        <f>B$5/B$2</f>
        <v>#REF!</v>
      </c>
      <c r="C4" s="14" t="e">
        <f t="shared" ref="C4:D4" si="0">C$5/C$2</f>
        <v>#REF!</v>
      </c>
      <c r="D4" s="14" t="e">
        <f t="shared" si="0"/>
        <v>#REF!</v>
      </c>
      <c r="E4" s="14" t="e">
        <f>E$5/E$2</f>
        <v>#REF!</v>
      </c>
    </row>
    <row r="5" spans="1:5" x14ac:dyDescent="0.5">
      <c r="A5" s="3" t="s">
        <v>145</v>
      </c>
      <c r="B5" t="e">
        <f>SUMIFS(PlayData!#REF!,PlayData!#REF!, B$1)</f>
        <v>#REF!</v>
      </c>
      <c r="C5" t="e">
        <f>SUMIFS(PlayData!#REF!,PlayData!#REF!, C$1)</f>
        <v>#REF!</v>
      </c>
      <c r="D5" t="e">
        <f>SUMIFS(PlayData!#REF!,PlayData!#REF!, D$1)</f>
        <v>#REF!</v>
      </c>
      <c r="E5" t="e">
        <f>SUMIFS(PlayData!#REF!,PlayData!#REF!, E$1)</f>
        <v>#REF!</v>
      </c>
    </row>
    <row r="10" spans="1:5" x14ac:dyDescent="0.5">
      <c r="A10" s="3" t="s">
        <v>81</v>
      </c>
    </row>
    <row r="11" spans="1:5" x14ac:dyDescent="0.5">
      <c r="A11" s="3" t="s">
        <v>76</v>
      </c>
      <c r="B11" s="13" t="e">
        <f>COUNTIFS(PlayData!#REF!, B$1, PlayData!$G:$G, "Run")</f>
        <v>#REF!</v>
      </c>
      <c r="C11" s="13" t="e">
        <f>COUNTIFS(PlayData!#REF!, C$1,PlayData!$G:$G, "Run")</f>
        <v>#REF!</v>
      </c>
      <c r="D11" s="13" t="e">
        <f>COUNTIFS(PlayData!#REF!, D$1,PlayData!$G:$G, "Run")</f>
        <v>#REF!</v>
      </c>
      <c r="E11" s="13" t="e">
        <f>COUNTIFS(PlayData!#REF!, E$1,PlayData!$G:$G, "Run")</f>
        <v>#REF!</v>
      </c>
    </row>
    <row r="12" spans="1:5" x14ac:dyDescent="0.5">
      <c r="A12" s="3" t="s">
        <v>79</v>
      </c>
      <c r="B12" s="13" t="e">
        <f>SUMIFS(PlayData!$S:$S, PlayData!#REF!, B$1, PlayData!$G:$G, "Run")</f>
        <v>#REF!</v>
      </c>
      <c r="C12" s="13" t="e">
        <f>SUMIFS(PlayData!$S:$S, PlayData!#REF!, C$1, PlayData!$G:$G, "Run")</f>
        <v>#REF!</v>
      </c>
      <c r="D12" s="13" t="e">
        <f>SUMIFS(PlayData!$S:$S, PlayData!#REF!, D$1, PlayData!$G:$G, "Run")</f>
        <v>#REF!</v>
      </c>
      <c r="E12" s="13" t="e">
        <f>SUMIFS(PlayData!$S:$S, PlayData!#REF!, E$1, PlayData!$G:$G, "Run")</f>
        <v>#REF!</v>
      </c>
    </row>
    <row r="13" spans="1:5" x14ac:dyDescent="0.5">
      <c r="A13" s="3" t="s">
        <v>82</v>
      </c>
      <c r="B13" t="e">
        <f>B$12/B$11</f>
        <v>#REF!</v>
      </c>
      <c r="C13" t="e">
        <f>C$12/C$11</f>
        <v>#REF!</v>
      </c>
      <c r="D13" t="e">
        <f>D$12/D$11</f>
        <v>#REF!</v>
      </c>
      <c r="E13" t="e">
        <f>E$12/E$11</f>
        <v>#REF!</v>
      </c>
    </row>
    <row r="14" spans="1:5" x14ac:dyDescent="0.5">
      <c r="A14" s="3" t="s">
        <v>83</v>
      </c>
      <c r="B14" t="e">
        <f>COUNTIFS(PlayData!#REF!, "Y", PlayData!$G:$G, "Run",PlayData!#REF!,TeamEff!B$1)</f>
        <v>#REF!</v>
      </c>
      <c r="C14" t="e">
        <f>COUNTIFS(PlayData!#REF!, "Y", PlayData!$G:$G, "Run",PlayData!#REF!,TeamEff!C$1)</f>
        <v>#REF!</v>
      </c>
      <c r="D14" t="e">
        <f>COUNTIFS(PlayData!#REF!, "Y", PlayData!$G:$G, "Run",PlayData!#REF!,TeamEff!D$1)</f>
        <v>#REF!</v>
      </c>
      <c r="E14" t="e">
        <f>COUNTIFS(PlayData!#REF!, "Y", PlayData!$G:$G, "Run",PlayData!#REF!,TeamEff!E$1)</f>
        <v>#REF!</v>
      </c>
    </row>
    <row r="21" spans="1:5" x14ac:dyDescent="0.5">
      <c r="A21" s="3" t="s">
        <v>84</v>
      </c>
    </row>
    <row r="22" spans="1:5" x14ac:dyDescent="0.5">
      <c r="A22" s="3" t="s">
        <v>85</v>
      </c>
      <c r="B22" t="e">
        <f>SUM(B$25,B$30,B$32)</f>
        <v>#REF!</v>
      </c>
      <c r="C22" t="e">
        <f>SUM(C$25,C$30,C$32)</f>
        <v>#REF!</v>
      </c>
      <c r="D22" t="e">
        <f>SUM(D$25,D$30,D$32)</f>
        <v>#REF!</v>
      </c>
      <c r="E22" t="e">
        <f>SUM(E$25,E$30,E$32)</f>
        <v>#REF!</v>
      </c>
    </row>
    <row r="23" spans="1:5" x14ac:dyDescent="0.5">
      <c r="A23" s="3" t="s">
        <v>86</v>
      </c>
      <c r="B23" t="e">
        <f>SUM(B$28,B$31,B$33)</f>
        <v>#REF!</v>
      </c>
      <c r="C23" t="e">
        <f>SUM(C$28,C$31,C$33)</f>
        <v>#REF!</v>
      </c>
      <c r="D23" t="e">
        <f>SUM(D$28,D$31,D$33)</f>
        <v>#REF!</v>
      </c>
      <c r="E23" t="e">
        <f>SUM(E$28,E$31,E$33)</f>
        <v>#REF!</v>
      </c>
    </row>
    <row r="24" spans="1:5" x14ac:dyDescent="0.5">
      <c r="A24" s="3" t="s">
        <v>91</v>
      </c>
      <c r="B24" t="e">
        <f>B$23/B$22</f>
        <v>#REF!</v>
      </c>
      <c r="C24" t="e">
        <f>C$23/C$22</f>
        <v>#REF!</v>
      </c>
      <c r="D24" t="e">
        <f>D$23/D$22</f>
        <v>#REF!</v>
      </c>
      <c r="E24" t="e">
        <f>E$23/E$22</f>
        <v>#REF!</v>
      </c>
    </row>
    <row r="25" spans="1:5" x14ac:dyDescent="0.5">
      <c r="A25" s="3" t="s">
        <v>87</v>
      </c>
      <c r="B25" t="e">
        <f>COUNTIFS(PlayData!$G:$G, "Pass Attempt", PlayData!#REF!,TeamEff!B$1)</f>
        <v>#REF!</v>
      </c>
      <c r="C25" t="e">
        <f>COUNTIFS(PlayData!$G:$G, "Pass Attempt", PlayData!#REF!,TeamEff!C$1)</f>
        <v>#REF!</v>
      </c>
      <c r="D25" t="e">
        <f>COUNTIFS(PlayData!$G:$G, "Pass Attempt", PlayData!#REF!,TeamEff!D$1)</f>
        <v>#REF!</v>
      </c>
      <c r="E25" t="e">
        <f>COUNTIFS(PlayData!$G:$G, "Pass Attempt", PlayData!#REF!,TeamEff!E$1)</f>
        <v>#REF!</v>
      </c>
    </row>
    <row r="26" spans="1:5" x14ac:dyDescent="0.5">
      <c r="A26" s="3" t="s">
        <v>119</v>
      </c>
      <c r="B26" t="e">
        <f>COUNTIFS(PlayData!$G:$G, "Pass Attempt", PlayData!#REF!,TeamEff!B$1,PlayData!$U:$U, "Catch")</f>
        <v>#REF!</v>
      </c>
      <c r="C26" t="e">
        <f>COUNTIFS(PlayData!$G:$G, "Pass Attempt", PlayData!#REF!,TeamEff!C$1,PlayData!$U:$U, "Catch")</f>
        <v>#REF!</v>
      </c>
      <c r="D26" t="e">
        <f>COUNTIFS(PlayData!$G:$G, "Pass Attempt", PlayData!#REF!,TeamEff!D$1,PlayData!$U:$U, "Catch")</f>
        <v>#REF!</v>
      </c>
      <c r="E26" t="e">
        <f>COUNTIFS(PlayData!$G:$G, "Pass Attempt", PlayData!#REF!,TeamEff!E$1,PlayData!$U:$U, "Catch")</f>
        <v>#REF!</v>
      </c>
    </row>
    <row r="27" spans="1:5" x14ac:dyDescent="0.5">
      <c r="A27" s="3" t="s">
        <v>64</v>
      </c>
      <c r="B27" t="e">
        <f>COUNTIFS(PlayData!$G:$G, "Pass Attempt", PlayData!#REF!,TeamEff!B$1,PlayData!$U:$U, "Drop")</f>
        <v>#REF!</v>
      </c>
      <c r="C27" t="e">
        <f>COUNTIFS(PlayData!$G:$G, "Pass Attempt", PlayData!#REF!,TeamEff!C$1,PlayData!$U:$U, "Drop")</f>
        <v>#REF!</v>
      </c>
      <c r="D27" t="e">
        <f>COUNTIFS(PlayData!$G:$G, "Pass Attempt", PlayData!#REF!,TeamEff!D$1,PlayData!$U:$U, "Drop")</f>
        <v>#REF!</v>
      </c>
      <c r="E27" t="e">
        <f>COUNTIFS(PlayData!$G:$G, "Pass Attempt", PlayData!#REF!,TeamEff!E$1,PlayData!$U:$U, "Drop")</f>
        <v>#REF!</v>
      </c>
    </row>
    <row r="28" spans="1:5" x14ac:dyDescent="0.5">
      <c r="A28" s="3" t="s">
        <v>80</v>
      </c>
      <c r="B28" t="e">
        <f>SUMIFS(PlayData!$S:$S,PlayData!$G:$G, "Pass Attempt", PlayData!#REF!,TeamEff!B$1)</f>
        <v>#REF!</v>
      </c>
      <c r="C28" t="e">
        <f>SUMIFS(PlayData!$S:$S,PlayData!$G:$G, "Pass Attempt", PlayData!#REF!,TeamEff!C$1)</f>
        <v>#REF!</v>
      </c>
      <c r="D28" t="e">
        <f>SUMIFS(PlayData!$S:$S,PlayData!$G:$G, "Pass Attempt", PlayData!#REF!,TeamEff!D$1)</f>
        <v>#REF!</v>
      </c>
      <c r="E28" t="e">
        <f>SUMIFS(PlayData!$S:$S,PlayData!$G:$G, "Pass Attempt", PlayData!#REF!,TeamEff!E$1)</f>
        <v>#REF!</v>
      </c>
    </row>
    <row r="29" spans="1:5" x14ac:dyDescent="0.5">
      <c r="A29" s="3" t="s">
        <v>92</v>
      </c>
      <c r="B29" t="e">
        <f>COUNTIFS(PlayData!$G:$G, "Pass Attempt", PlayData!#REF!,TeamEff!B$1,PlayData!#REF!, "Y")</f>
        <v>#REF!</v>
      </c>
      <c r="C29" t="e">
        <f>COUNTIFS(PlayData!$G:$G, "Pass Attempt", PlayData!#REF!,TeamEff!C$1,PlayData!#REF!, "Y")</f>
        <v>#REF!</v>
      </c>
      <c r="D29" t="e">
        <f>COUNTIFS(PlayData!$G:$G, "Pass Attempt", PlayData!#REF!,TeamEff!D$1,PlayData!#REF!, "Y")</f>
        <v>#REF!</v>
      </c>
      <c r="E29" t="e">
        <f>COUNTIFS(PlayData!$G:$G, "Pass Attempt", PlayData!#REF!,TeamEff!E$1,PlayData!#REF!, "Y")</f>
        <v>#REF!</v>
      </c>
    </row>
    <row r="30" spans="1:5" x14ac:dyDescent="0.5">
      <c r="A30" s="3" t="s">
        <v>39</v>
      </c>
      <c r="B30" t="e">
        <f>COUNTIFS(PlayData!$G:$G, "Sack", PlayData!#REF!,TeamEff!B$1)</f>
        <v>#REF!</v>
      </c>
      <c r="C30" t="e">
        <f>COUNTIFS(PlayData!$G:$G, "Sack", PlayData!#REF!,TeamEff!C$1)</f>
        <v>#REF!</v>
      </c>
      <c r="D30" t="e">
        <f>COUNTIFS(PlayData!$G:$G, "Sack", PlayData!#REF!,TeamEff!D$1)</f>
        <v>#REF!</v>
      </c>
      <c r="E30" t="e">
        <f>COUNTIFS(PlayData!$G:$G, "Sack", PlayData!#REF!,TeamEff!E$1)</f>
        <v>#REF!</v>
      </c>
    </row>
    <row r="31" spans="1:5" x14ac:dyDescent="0.5">
      <c r="A31" s="3" t="s">
        <v>88</v>
      </c>
      <c r="B31" t="e">
        <f>SUMIFS(PlayData!$S:$S,PlayData!$G:$G, "Sack", PlayData!#REF!,TeamEff!B$1)</f>
        <v>#REF!</v>
      </c>
      <c r="C31" t="e">
        <f>SUMIFS(PlayData!$S:$S,PlayData!$G:$G, "Sack", PlayData!#REF!,TeamEff!C$1)</f>
        <v>#REF!</v>
      </c>
      <c r="D31" t="e">
        <f>SUMIFS(PlayData!$S:$S,PlayData!$G:$G, "Sack", PlayData!#REF!,TeamEff!D$1)</f>
        <v>#REF!</v>
      </c>
      <c r="E31" t="e">
        <f>SUMIFS(PlayData!$S:$S,PlayData!$G:$G, "Sack", PlayData!#REF!,TeamEff!E$1)</f>
        <v>#REF!</v>
      </c>
    </row>
    <row r="32" spans="1:5" x14ac:dyDescent="0.5">
      <c r="A32" s="3" t="s">
        <v>89</v>
      </c>
      <c r="B32" t="e">
        <f>COUNTIFS(PlayData!$G:$G, "QB Scramble", PlayData!#REF!,TeamEff!B$1)</f>
        <v>#REF!</v>
      </c>
      <c r="C32" t="e">
        <f>COUNTIFS(PlayData!$G:$G, "QB Scramble", PlayData!#REF!,TeamEff!C$1)</f>
        <v>#REF!</v>
      </c>
      <c r="D32" t="e">
        <f>COUNTIFS(PlayData!$G:$G, "QB Scramble", PlayData!#REF!,TeamEff!D$1)</f>
        <v>#REF!</v>
      </c>
      <c r="E32" t="e">
        <f>COUNTIFS(PlayData!$G:$G, "QB Scramble", PlayData!#REF!,TeamEff!E$1)</f>
        <v>#REF!</v>
      </c>
    </row>
    <row r="33" spans="1:5" x14ac:dyDescent="0.5">
      <c r="A33" s="3" t="s">
        <v>90</v>
      </c>
      <c r="B33" t="e">
        <f>SUMIFS(PlayData!$S:$S,PlayData!$G:$G, "QB Scramble", PlayData!#REF!,TeamEff!B$1)</f>
        <v>#REF!</v>
      </c>
      <c r="C33" t="e">
        <f>SUMIFS(PlayData!$S:$S,PlayData!$G:$G, "QB Scramble", PlayData!#REF!,TeamEff!C$1)</f>
        <v>#REF!</v>
      </c>
      <c r="D33" t="e">
        <f>SUMIFS(PlayData!$S:$S,PlayData!$G:$G, "QB Scramble", PlayData!#REF!,TeamEff!D$1)</f>
        <v>#REF!</v>
      </c>
      <c r="E33" t="e">
        <f>SUMIFS(PlayData!$S:$S,PlayData!$G:$G, "QB Scramble", PlayData!#REF!,TeamEff!E$1)</f>
        <v>#REF!</v>
      </c>
    </row>
    <row r="34" spans="1:5" x14ac:dyDescent="0.5">
      <c r="A34" s="3" t="s">
        <v>93</v>
      </c>
      <c r="B34" t="e">
        <f>COUNTIFS(PlayData!$G:$G, "QB Scramble", PlayData!#REF!,TeamEff!B$1,PlayData!#REF!, "Y")</f>
        <v>#REF!</v>
      </c>
      <c r="C34" t="e">
        <f>COUNTIFS(PlayData!$G:$G, "QB Scramble", PlayData!#REF!,TeamEff!C$1,PlayData!#REF!, "Y")</f>
        <v>#REF!</v>
      </c>
      <c r="D34" t="e">
        <f>COUNTIFS(PlayData!$G:$G, "QB Scramble", PlayData!#REF!,TeamEff!D$1,PlayData!#REF!, "Y")</f>
        <v>#REF!</v>
      </c>
      <c r="E34" t="e">
        <f>COUNTIFS(PlayData!$G:$G, "QB Scramble", PlayData!#REF!,TeamEff!E$1,PlayData!#REF!, "Y")</f>
        <v>#REF!</v>
      </c>
    </row>
    <row r="35" spans="1:5" x14ac:dyDescent="0.5">
      <c r="A35" s="3" t="s">
        <v>146</v>
      </c>
      <c r="B35" t="e">
        <f>SUM(B$29,B$34)</f>
        <v>#REF!</v>
      </c>
      <c r="C35" t="e">
        <f t="shared" ref="C35:E35" si="1">SUM(C$29,C$34)</f>
        <v>#REF!</v>
      </c>
      <c r="D35" t="e">
        <f t="shared" si="1"/>
        <v>#REF!</v>
      </c>
      <c r="E35" t="e">
        <f t="shared" si="1"/>
        <v>#REF!</v>
      </c>
    </row>
    <row r="37" spans="1:5" x14ac:dyDescent="0.5">
      <c r="A37" s="3" t="s">
        <v>134</v>
      </c>
      <c r="B37" t="e">
        <f>COUNTIFS(PlayData!#REF!, B$1, PlayData!$G:$G, "Penalty")</f>
        <v>#REF!</v>
      </c>
      <c r="C37" t="e">
        <f>COUNTIFS(PlayData!#REF!, C$1, PlayData!$G:$G, "Penalty")</f>
        <v>#REF!</v>
      </c>
      <c r="D37" t="e">
        <f>COUNTIFS(PlayData!#REF!, D$1, PlayData!$G:$G, "Penalty")</f>
        <v>#REF!</v>
      </c>
      <c r="E37" t="e">
        <f>COUNTIFS(PlayData!#REF!, E$1, PlayData!$G:$G, "Penalty")</f>
        <v>#REF!</v>
      </c>
    </row>
    <row r="38" spans="1:5" x14ac:dyDescent="0.5">
      <c r="A38" s="3" t="s">
        <v>135</v>
      </c>
      <c r="B38" t="e">
        <f>SUMIFS(PlayData!$S:$S, PlayData!#REF!, B$1, PlayData!$G:$G, "Penalty")</f>
        <v>#REF!</v>
      </c>
      <c r="C38" t="e">
        <f>SUMIFS(PlayData!$S:$S, PlayData!#REF!, C$1, PlayData!$G:$G, "Penalty")</f>
        <v>#REF!</v>
      </c>
      <c r="D38" t="e">
        <f>SUMIFS(PlayData!$S:$S, PlayData!#REF!, D$1, PlayData!$G:$G, "Penalty")</f>
        <v>#REF!</v>
      </c>
      <c r="E38" t="e">
        <f>SUMIFS(PlayData!$S:$S, PlayData!#REF!, E$1, PlayData!$G:$G, "Penalty")</f>
        <v>#REF!</v>
      </c>
    </row>
    <row r="39" spans="1:5" x14ac:dyDescent="0.5">
      <c r="A39" s="3" t="s">
        <v>83</v>
      </c>
      <c r="B39" t="e">
        <f>COUNTIFS(PlayData!#REF!, "Y", PlayData!$G:$G, "Penalty",PlayData!#REF!,TeamEff!B$1)</f>
        <v>#REF!</v>
      </c>
      <c r="C39" t="e">
        <f>COUNTIFS(PlayData!#REF!, "Y", PlayData!$G:$G, "Penalty",PlayData!#REF!,TeamEff!C$1)</f>
        <v>#REF!</v>
      </c>
      <c r="D39" t="e">
        <f>COUNTIFS(PlayData!#REF!, "Y", PlayData!$G:$G, "Penalty",PlayData!#REF!,TeamEff!D$1)</f>
        <v>#REF!</v>
      </c>
      <c r="E39" t="e">
        <f>COUNTIFS(PlayData!#REF!, "Y", PlayData!$G:$G, "Penalty",PlayData!#REF!,TeamEff!E$1)</f>
        <v>#REF!</v>
      </c>
    </row>
    <row r="43" spans="1:5" x14ac:dyDescent="0.5">
      <c r="A43" s="3" t="s">
        <v>107</v>
      </c>
      <c r="B43" t="e">
        <f>COUNTIFS(PlayData!#REF!, B$1, PlayData!$G:$G, "Run-BadSnap")</f>
        <v>#REF!</v>
      </c>
      <c r="C43" t="e">
        <f>COUNTIFS(PlayData!#REF!, C$1, PlayData!$G:$G, "Run-BadSnap")</f>
        <v>#REF!</v>
      </c>
      <c r="D43" t="e">
        <f>COUNTIFS(PlayData!#REF!, D$1, PlayData!$G:$G, "Run-BadSnap")</f>
        <v>#REF!</v>
      </c>
      <c r="E43" t="e">
        <f>COUNTIFS(PlayData!#REF!, E$1, PlayData!$G:$G, "Run-BadSnap")</f>
        <v>#REF!</v>
      </c>
    </row>
    <row r="44" spans="1:5" x14ac:dyDescent="0.5">
      <c r="A44" s="3" t="s">
        <v>109</v>
      </c>
      <c r="B44" t="e">
        <f>SUMIFS(PlayData!$S:$S, PlayData!#REF!, B$1, PlayData!$G:$G, "Run-BadSnap")</f>
        <v>#REF!</v>
      </c>
      <c r="C44" t="e">
        <f>SUMIFS(PlayData!$S:$S, PlayData!#REF!, C$1, PlayData!$G:$G, "Run-BadSnap")</f>
        <v>#REF!</v>
      </c>
      <c r="D44" t="e">
        <f>SUMIFS(PlayData!$S:$S, PlayData!#REF!, D$1, PlayData!$G:$G, "Run-BadSnap")</f>
        <v>#REF!</v>
      </c>
      <c r="E44" t="e">
        <f>SUMIFS(PlayData!$S:$S, PlayData!#REF!, E$1, PlayData!$G:$G, "Run-BadSnap")</f>
        <v>#REF!</v>
      </c>
    </row>
    <row r="45" spans="1:5" x14ac:dyDescent="0.5">
      <c r="A45" s="3" t="s">
        <v>133</v>
      </c>
      <c r="B45" t="e">
        <f>COUNTIFS(PlayData!#REF!, B$1, PlayData!$G:$G, "Run-BadSnap", PlayData!$T:$T, "Fumble Lost")</f>
        <v>#REF!</v>
      </c>
      <c r="C45" t="e">
        <f>COUNTIFS(PlayData!#REF!, C$1, PlayData!$G:$G, "Run-BadSnap", PlayData!$T:$T, "Fumble Lost")</f>
        <v>#REF!</v>
      </c>
      <c r="D45" t="e">
        <f>COUNTIFS(PlayData!#REF!, D$1, PlayData!$G:$G, "Run-BadSnap", PlayData!$T:$T, "Fumble Lost")</f>
        <v>#REF!</v>
      </c>
      <c r="E45" t="e">
        <f>COUNTIFS(PlayData!#REF!, E$1, PlayData!$G:$G, "Run-BadSnap", PlayData!$T:$T, "Fumble Lost")</f>
        <v>#REF!</v>
      </c>
    </row>
    <row r="49" spans="1:5" x14ac:dyDescent="0.5">
      <c r="A49" s="3" t="s">
        <v>94</v>
      </c>
      <c r="B49" t="s">
        <v>95</v>
      </c>
      <c r="C49" t="s">
        <v>96</v>
      </c>
      <c r="D49" t="s">
        <v>97</v>
      </c>
      <c r="E49" t="s">
        <v>138</v>
      </c>
    </row>
    <row r="50" spans="1:5" x14ac:dyDescent="0.5">
      <c r="A50" s="3" t="s">
        <v>136</v>
      </c>
      <c r="B50" t="e">
        <f>COUNTIFS(PlayData!#REF!, "3",PlayData!#REF!, "&lt;=3")</f>
        <v>#REF!</v>
      </c>
      <c r="C50" t="e">
        <f>COUNTIFS(PlayData!#REF!,"3",PlayData!#REF!,"&lt;=6",PlayData!#REF!,"&gt;=4")</f>
        <v>#REF!</v>
      </c>
      <c r="D50" t="e">
        <f>COUNTIFS(PlayData!#REF!,"3",PlayData!#REF!,"&gt;=7")</f>
        <v>#REF!</v>
      </c>
    </row>
    <row r="51" spans="1:5" x14ac:dyDescent="0.5">
      <c r="A51" s="3" t="s">
        <v>134</v>
      </c>
      <c r="B51" t="e">
        <f>COUNTIFS(PlayData!#REF!, "3",PlayData!#REF!, "&lt;=3", PlayData!$G:$G, "Penalty")</f>
        <v>#REF!</v>
      </c>
      <c r="C51" t="e">
        <f>COUNTIFS(PlayData!#REF!,"3",PlayData!#REF!,"&lt;=6",PlayData!#REF!,"&gt;=4",PlayData!$G:$G, "Penalty")</f>
        <v>#REF!</v>
      </c>
      <c r="D51" t="e">
        <f>COUNTIFS(PlayData!#REF!,"3",PlayData!#REF!,"&gt;=7",PlayData!$G:$G, "Penalty")</f>
        <v>#REF!</v>
      </c>
    </row>
    <row r="52" spans="1:5" x14ac:dyDescent="0.5">
      <c r="A52" s="3" t="s">
        <v>137</v>
      </c>
      <c r="B52" t="e">
        <f>COUNTIFS(PlayData!#REF!, "3",PlayData!#REF!, "&lt;=3", PlayData!$G:$G, "Penalty", PlayData!#REF!, "Y")</f>
        <v>#REF!</v>
      </c>
      <c r="C52" t="e">
        <f>COUNTIFS(PlayData!#REF!,"3",PlayData!#REF!,"&lt;=6",PlayData!#REF!,"&gt;=4",PlayData!#REF!, "Y",PlayData!$G:$G, "Penalty")</f>
        <v>#REF!</v>
      </c>
      <c r="D52" t="e">
        <f>COUNTIFS(PlayData!#REF!,"3",PlayData!#REF!,"&gt;=7",PlayData!$G:$G, "Penalty",PlayData!#REF!, "Y")</f>
        <v>#REF!</v>
      </c>
    </row>
    <row r="53" spans="1:5" x14ac:dyDescent="0.5">
      <c r="A53" s="3" t="s">
        <v>108</v>
      </c>
      <c r="B53" t="e">
        <f t="shared" ref="B53:C53" si="2">B$50-B$52</f>
        <v>#REF!</v>
      </c>
      <c r="C53" t="e">
        <f t="shared" si="2"/>
        <v>#REF!</v>
      </c>
      <c r="D53" t="e">
        <f>D$50-D$52</f>
        <v>#REF!</v>
      </c>
      <c r="E53" t="e">
        <f>SUM(B53:D53)</f>
        <v>#REF!</v>
      </c>
    </row>
    <row r="54" spans="1:5" x14ac:dyDescent="0.5">
      <c r="A54" s="3" t="s">
        <v>83</v>
      </c>
      <c r="B54" t="e">
        <f>COUNTIFS(PlayData!#REF!, "3",PlayData!#REF!, "&lt;=3", PlayData!#REF!, "Y")</f>
        <v>#REF!</v>
      </c>
      <c r="C54" t="e">
        <f>COUNTIFS(PlayData!#REF!,"3",PlayData!#REF!,"&lt;=6",PlayData!#REF!,"&gt;=4", PlayData!#REF!, "Y")</f>
        <v>#REF!</v>
      </c>
      <c r="D54" t="e">
        <f>COUNTIFS(PlayData!#REF!,"3",PlayData!#REF!,"&gt;=7",PlayData!#REF!, "Y")</f>
        <v>#REF!</v>
      </c>
    </row>
    <row r="55" spans="1:5" x14ac:dyDescent="0.5">
      <c r="A55" s="3" t="s">
        <v>139</v>
      </c>
      <c r="B55" t="e">
        <f t="shared" ref="B55:C55" si="3">B$54/B$50</f>
        <v>#REF!</v>
      </c>
      <c r="C55" t="e">
        <f t="shared" si="3"/>
        <v>#REF!</v>
      </c>
      <c r="D55" t="e">
        <f>D$54/D$50</f>
        <v>#REF!</v>
      </c>
    </row>
    <row r="56" spans="1:5" x14ac:dyDescent="0.5">
      <c r="A56" s="3" t="s">
        <v>99</v>
      </c>
      <c r="B56" t="e">
        <f>COUNTIFS(PlayData!#REF!, "3",PlayData!#REF!, "&lt;=3", PlayData!$G:$G, "Run")</f>
        <v>#REF!</v>
      </c>
      <c r="C56" t="e">
        <f>COUNTIFS(PlayData!#REF!,"3",PlayData!#REF!,"&lt;=6",PlayData!#REF!,"&gt;=4", PlayData!G:G, "Run")</f>
        <v>#REF!</v>
      </c>
      <c r="D56" t="e">
        <f>COUNTIFS(PlayData!#REF!,"3",PlayData!#REF!,"&gt;=7", PlayData!G:G, "Run")</f>
        <v>#REF!</v>
      </c>
    </row>
    <row r="57" spans="1:5" x14ac:dyDescent="0.5">
      <c r="A57" s="3" t="s">
        <v>140</v>
      </c>
      <c r="B57" t="e">
        <f>COUNTIFS(PlayData!#REF!, "3",PlayData!#REF!, "&lt;=3", PlayData!$G:$G, "Pass Attempt")</f>
        <v>#REF!</v>
      </c>
      <c r="C57" t="e">
        <f>COUNTIFS(PlayData!#REF!,"3",PlayData!#REF!,"&lt;=6",PlayData!#REF!,"&gt;=4", PlayData!$G:$G, "Pass Attempt")</f>
        <v>#REF!</v>
      </c>
      <c r="D57" t="e">
        <f>COUNTIFS(PlayData!#REF!,"3",PlayData!#REF!,"&gt;=7", PlayData!G:G, "Pass Attempt")</f>
        <v>#REF!</v>
      </c>
    </row>
    <row r="58" spans="1:5" x14ac:dyDescent="0.5">
      <c r="A58" s="3" t="s">
        <v>39</v>
      </c>
      <c r="B58" t="e">
        <f>COUNTIFS(PlayData!#REF!, "3",PlayData!#REF!, "&lt;=3", PlayData!$G:$G, "Sack")</f>
        <v>#REF!</v>
      </c>
      <c r="C58" t="e">
        <f>COUNTIFS(PlayData!#REF!,"3",PlayData!#REF!,"&lt;=6",PlayData!#REF!,"&gt;=4", PlayData!$G:$G, "Sack")</f>
        <v>#REF!</v>
      </c>
      <c r="D58" t="e">
        <f>COUNTIFS(PlayData!#REF!,"3",PlayData!#REF!,"&gt;=7", PlayData!G:G, "Sack")</f>
        <v>#REF!</v>
      </c>
    </row>
    <row r="59" spans="1:5" x14ac:dyDescent="0.5">
      <c r="A59" s="3" t="s">
        <v>141</v>
      </c>
      <c r="B59" t="e">
        <f>COUNTIFS(PlayData!#REF!, "3",PlayData!#REF!, "&lt;=3", PlayData!$G:$G, "QB Scramble")</f>
        <v>#REF!</v>
      </c>
      <c r="C59" t="e">
        <f>COUNTIFS(PlayData!#REF!,"3",PlayData!#REF!,"&lt;=6",PlayData!#REF!,"&gt;=4", PlayData!$G:$G, "QB Scramble")</f>
        <v>#REF!</v>
      </c>
      <c r="D59" t="e">
        <f>COUNTIFS(PlayData!#REF!,"3",PlayData!#REF!,"&gt;=7", PlayData!G:G, "QB Scramble")</f>
        <v>#REF!</v>
      </c>
    </row>
    <row r="60" spans="1:5" x14ac:dyDescent="0.5">
      <c r="A60" s="3" t="s">
        <v>142</v>
      </c>
      <c r="B60" t="e">
        <f>SUM(B$57:B$59)</f>
        <v>#REF!</v>
      </c>
      <c r="C60" t="e">
        <f t="shared" ref="C60:D60" si="4">SUM(C$57:C$59)</f>
        <v>#REF!</v>
      </c>
      <c r="D60" t="e">
        <f t="shared" si="4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PlayData</vt:lpstr>
      <vt:lpstr>PassingData</vt:lpstr>
      <vt:lpstr>qb_targs</vt:lpstr>
      <vt:lpstr>RunningData</vt:lpstr>
      <vt:lpstr>ReceivingData</vt:lpstr>
      <vt:lpstr>TeamEff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Drezdan Dale</dc:creator>
  <cp:lastModifiedBy>Drezdan Dale</cp:lastModifiedBy>
  <dcterms:created xsi:type="dcterms:W3CDTF">2021-03-12T06:07:12Z</dcterms:created>
  <dcterms:modified xsi:type="dcterms:W3CDTF">2022-05-01T22:46:49Z</dcterms:modified>
</cp:coreProperties>
</file>