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/Desktop/WorkingFPY/Enerhash/Github/Structure-a-datacenter-business_cloud-server-rental/"/>
    </mc:Choice>
  </mc:AlternateContent>
  <xr:revisionPtr revIDLastSave="0" documentId="13_ncr:1_{D1A272C8-8EDE-1042-BD93-A7AC254F4DE4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Assumptions" sheetId="1" r:id="rId1"/>
    <sheet name="Model" sheetId="2" r:id="rId2"/>
    <sheet name="Önerős (2)" sheetId="3" state="hidden" r:id="rId3"/>
  </sheets>
  <definedNames>
    <definedName name="infl">Assumptions!$D$17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1" i="2" l="1"/>
  <c r="H24" i="1" l="1"/>
  <c r="K119" i="2" l="1"/>
  <c r="J119" i="2"/>
  <c r="I119" i="2"/>
  <c r="H119" i="2"/>
  <c r="K44" i="2" l="1"/>
  <c r="J44" i="2"/>
  <c r="I44" i="2"/>
  <c r="H44" i="2"/>
  <c r="D18" i="1"/>
  <c r="D22" i="1"/>
  <c r="C44" i="1" l="1"/>
  <c r="D28" i="1"/>
  <c r="H13" i="2" s="1"/>
  <c r="C38" i="1"/>
  <c r="C50" i="1"/>
  <c r="I13" i="2" l="1"/>
  <c r="H85" i="2"/>
  <c r="G24" i="2"/>
  <c r="M24" i="2" s="1"/>
  <c r="L66" i="2"/>
  <c r="F141" i="2"/>
  <c r="F140" i="2"/>
  <c r="K130" i="2"/>
  <c r="K131" i="2" s="1"/>
  <c r="J130" i="2"/>
  <c r="J131" i="2" s="1"/>
  <c r="I130" i="2"/>
  <c r="I131" i="2" s="1"/>
  <c r="I120" i="2"/>
  <c r="J120" i="2"/>
  <c r="K120" i="2"/>
  <c r="G117" i="2"/>
  <c r="H117" i="2" s="1"/>
  <c r="I117" i="2" s="1"/>
  <c r="J117" i="2" s="1"/>
  <c r="K117" i="2" s="1"/>
  <c r="L117" i="2" s="1"/>
  <c r="M116" i="2"/>
  <c r="M127" i="2" s="1"/>
  <c r="L116" i="2"/>
  <c r="L127" i="2" s="1"/>
  <c r="K116" i="2"/>
  <c r="K127" i="2" s="1"/>
  <c r="J116" i="2"/>
  <c r="J127" i="2" s="1"/>
  <c r="I116" i="2"/>
  <c r="I127" i="2" s="1"/>
  <c r="H116" i="2"/>
  <c r="H127" i="2" s="1"/>
  <c r="G116" i="2"/>
  <c r="G127" i="2" s="1"/>
  <c r="F116" i="2"/>
  <c r="F127" i="2" s="1"/>
  <c r="H25" i="2"/>
  <c r="G25" i="2"/>
  <c r="H90" i="2"/>
  <c r="B53" i="1"/>
  <c r="B52" i="1"/>
  <c r="B51" i="1"/>
  <c r="B50" i="1"/>
  <c r="B47" i="1"/>
  <c r="B46" i="1"/>
  <c r="B45" i="1"/>
  <c r="B44" i="1"/>
  <c r="B41" i="1"/>
  <c r="B40" i="1"/>
  <c r="B39" i="1"/>
  <c r="B38" i="1"/>
  <c r="K81" i="2"/>
  <c r="J81" i="2"/>
  <c r="I81" i="2"/>
  <c r="H81" i="2"/>
  <c r="M102" i="2"/>
  <c r="M98" i="2"/>
  <c r="M93" i="2"/>
  <c r="L91" i="2"/>
  <c r="L95" i="2" s="1"/>
  <c r="L96" i="2" s="1"/>
  <c r="L100" i="2" s="1"/>
  <c r="L104" i="2" s="1"/>
  <c r="G91" i="2"/>
  <c r="G38" i="2"/>
  <c r="D43" i="1"/>
  <c r="D49" i="1" s="1"/>
  <c r="C51" i="1"/>
  <c r="C39" i="1"/>
  <c r="C43" i="1"/>
  <c r="C49" i="1" s="1"/>
  <c r="J13" i="2" l="1"/>
  <c r="I85" i="2"/>
  <c r="H91" i="2"/>
  <c r="H84" i="2"/>
  <c r="L130" i="2"/>
  <c r="L131" i="2" s="1"/>
  <c r="I139" i="2"/>
  <c r="J139" i="2"/>
  <c r="K139" i="2"/>
  <c r="M129" i="2"/>
  <c r="G128" i="2"/>
  <c r="H120" i="2"/>
  <c r="I90" i="2"/>
  <c r="G95" i="2"/>
  <c r="G96" i="2" s="1"/>
  <c r="C40" i="1"/>
  <c r="C52" i="1"/>
  <c r="C45" i="1"/>
  <c r="I84" i="2" s="1"/>
  <c r="L69" i="2"/>
  <c r="M42" i="2"/>
  <c r="M49" i="2"/>
  <c r="H73" i="2"/>
  <c r="I73" i="2" s="1"/>
  <c r="J73" i="2" s="1"/>
  <c r="K73" i="2" s="1"/>
  <c r="I25" i="2"/>
  <c r="J25" i="2" s="1"/>
  <c r="K25" i="2" s="1"/>
  <c r="K13" i="2" l="1"/>
  <c r="K85" i="2" s="1"/>
  <c r="J85" i="2"/>
  <c r="H128" i="2"/>
  <c r="I128" i="2" s="1"/>
  <c r="J128" i="2" s="1"/>
  <c r="K128" i="2" s="1"/>
  <c r="L128" i="2" s="1"/>
  <c r="I91" i="2"/>
  <c r="J90" i="2"/>
  <c r="G100" i="2"/>
  <c r="C46" i="1"/>
  <c r="J84" i="2" s="1"/>
  <c r="C53" i="1"/>
  <c r="C41" i="1"/>
  <c r="H5" i="2"/>
  <c r="I5" i="2" s="1"/>
  <c r="J5" i="2" s="1"/>
  <c r="K5" i="2" s="1"/>
  <c r="L5" i="2" s="1"/>
  <c r="M5" i="2" s="1"/>
  <c r="M85" i="2" l="1"/>
  <c r="J91" i="2"/>
  <c r="K90" i="2"/>
  <c r="K91" i="2" s="1"/>
  <c r="G104" i="2"/>
  <c r="G106" i="2" s="1"/>
  <c r="C47" i="1"/>
  <c r="M25" i="2"/>
  <c r="H7" i="1"/>
  <c r="D24" i="1"/>
  <c r="H11" i="2" s="1"/>
  <c r="I11" i="2" s="1"/>
  <c r="J11" i="2" s="1"/>
  <c r="K11" i="2" s="1"/>
  <c r="D19" i="1"/>
  <c r="D20" i="1" s="1"/>
  <c r="D23" i="1"/>
  <c r="K84" i="2" l="1"/>
  <c r="M84" i="2" s="1"/>
  <c r="O102" i="2" s="1"/>
  <c r="M90" i="2"/>
  <c r="H7" i="2"/>
  <c r="I7" i="2" s="1"/>
  <c r="J7" i="2" s="1"/>
  <c r="K7" i="2" s="1"/>
  <c r="M91" i="2"/>
  <c r="D21" i="1"/>
  <c r="G41" i="2" s="1"/>
  <c r="G44" i="2" s="1"/>
  <c r="M11" i="2"/>
  <c r="O91" i="2" l="1"/>
  <c r="M7" i="2"/>
  <c r="D26" i="1"/>
  <c r="H13" i="1"/>
  <c r="G47" i="2" s="1"/>
  <c r="G72" i="2"/>
  <c r="G46" i="2" s="1"/>
  <c r="G118" i="2" s="1"/>
  <c r="G120" i="2" s="1"/>
  <c r="G139" i="2" s="1"/>
  <c r="G61" i="2"/>
  <c r="I61" i="2"/>
  <c r="D25" i="1"/>
  <c r="K61" i="2"/>
  <c r="J61" i="2"/>
  <c r="H61" i="2"/>
  <c r="M41" i="2"/>
  <c r="N44" i="3"/>
  <c r="H39" i="3"/>
  <c r="F39" i="3"/>
  <c r="G37" i="3"/>
  <c r="F37" i="3"/>
  <c r="M30" i="3"/>
  <c r="K30" i="3"/>
  <c r="I30" i="3"/>
  <c r="G30" i="3"/>
  <c r="M24" i="3"/>
  <c r="K24" i="3"/>
  <c r="I24" i="3"/>
  <c r="G24" i="3"/>
  <c r="O18" i="3"/>
  <c r="B18" i="3"/>
  <c r="N17" i="3"/>
  <c r="L17" i="3"/>
  <c r="J17" i="3"/>
  <c r="H17" i="3"/>
  <c r="B16" i="3"/>
  <c r="B17" i="3" s="1"/>
  <c r="H14" i="3"/>
  <c r="J14" i="3" s="1"/>
  <c r="J11" i="3"/>
  <c r="L11" i="3" s="1"/>
  <c r="N11" i="3" s="1"/>
  <c r="B11" i="3"/>
  <c r="B14" i="3" s="1"/>
  <c r="B15" i="3" s="1"/>
  <c r="B9" i="3"/>
  <c r="J8" i="3"/>
  <c r="L8" i="3" s="1"/>
  <c r="N8" i="3" s="1"/>
  <c r="B8" i="3"/>
  <c r="P7" i="3"/>
  <c r="J7" i="3"/>
  <c r="L7" i="3" s="1"/>
  <c r="N7" i="3" s="1"/>
  <c r="B7" i="3"/>
  <c r="J6" i="3"/>
  <c r="L6" i="3" s="1"/>
  <c r="N6" i="3" s="1"/>
  <c r="J5" i="3"/>
  <c r="L5" i="3" s="1"/>
  <c r="N5" i="3" s="1"/>
  <c r="K48" i="2" l="1"/>
  <c r="K51" i="2" s="1"/>
  <c r="H48" i="2"/>
  <c r="G68" i="2"/>
  <c r="I48" i="2"/>
  <c r="I51" i="2" s="1"/>
  <c r="J48" i="2"/>
  <c r="J51" i="2" s="1"/>
  <c r="H72" i="2"/>
  <c r="I72" i="2" s="1"/>
  <c r="J72" i="2" s="1"/>
  <c r="K72" i="2" s="1"/>
  <c r="L50" i="2" s="1"/>
  <c r="L119" i="2" s="1"/>
  <c r="H17" i="2"/>
  <c r="D27" i="1"/>
  <c r="H17" i="1" s="1"/>
  <c r="H65" i="2"/>
  <c r="I65" i="2" s="1"/>
  <c r="J65" i="2" s="1"/>
  <c r="K65" i="2" s="1"/>
  <c r="H14" i="2"/>
  <c r="I14" i="2" s="1"/>
  <c r="M118" i="2"/>
  <c r="M47" i="2"/>
  <c r="H51" i="2"/>
  <c r="G64" i="2"/>
  <c r="G51" i="2"/>
  <c r="M46" i="2"/>
  <c r="B10" i="3"/>
  <c r="F6" i="3" s="1"/>
  <c r="F22" i="3" s="1"/>
  <c r="H22" i="3" s="1"/>
  <c r="J22" i="3" s="1"/>
  <c r="L22" i="3" s="1"/>
  <c r="L34" i="3"/>
  <c r="J34" i="3"/>
  <c r="N34" i="3"/>
  <c r="H34" i="3"/>
  <c r="L14" i="3"/>
  <c r="J39" i="3"/>
  <c r="N35" i="3"/>
  <c r="L35" i="3"/>
  <c r="J35" i="3"/>
  <c r="H35" i="3"/>
  <c r="I17" i="2" l="1"/>
  <c r="J17" i="2" s="1"/>
  <c r="K17" i="2" s="1"/>
  <c r="M48" i="2"/>
  <c r="H38" i="2"/>
  <c r="H15" i="2"/>
  <c r="H64" i="2"/>
  <c r="G66" i="2"/>
  <c r="J14" i="2"/>
  <c r="I15" i="2"/>
  <c r="I38" i="2"/>
  <c r="H68" i="2"/>
  <c r="H23" i="2" s="1"/>
  <c r="G23" i="2"/>
  <c r="G69" i="2"/>
  <c r="G22" i="2"/>
  <c r="H6" i="2"/>
  <c r="H86" i="2" s="1"/>
  <c r="H87" i="2" s="1"/>
  <c r="F5" i="3"/>
  <c r="F8" i="3" s="1"/>
  <c r="H9" i="3" s="1"/>
  <c r="J9" i="3" s="1"/>
  <c r="B21" i="3"/>
  <c r="H21" i="3" s="1"/>
  <c r="J21" i="3" s="1"/>
  <c r="F11" i="3"/>
  <c r="F20" i="3" s="1"/>
  <c r="H20" i="3" s="1"/>
  <c r="J20" i="3" s="1"/>
  <c r="B19" i="3"/>
  <c r="L36" i="3" s="1"/>
  <c r="P6" i="3"/>
  <c r="H47" i="3"/>
  <c r="L39" i="3"/>
  <c r="N14" i="3"/>
  <c r="N39" i="3" s="1"/>
  <c r="H88" i="2" l="1"/>
  <c r="G26" i="2"/>
  <c r="G28" i="2" s="1"/>
  <c r="G32" i="2" s="1"/>
  <c r="I68" i="2"/>
  <c r="I22" i="2" s="1"/>
  <c r="H69" i="2"/>
  <c r="K14" i="2"/>
  <c r="K15" i="2" s="1"/>
  <c r="J15" i="2"/>
  <c r="K38" i="2"/>
  <c r="J38" i="2"/>
  <c r="H22" i="2"/>
  <c r="H26" i="2" s="1"/>
  <c r="H66" i="2"/>
  <c r="I64" i="2"/>
  <c r="F13" i="3"/>
  <c r="F18" i="3" s="1"/>
  <c r="F23" i="3" s="1"/>
  <c r="F24" i="3" s="1"/>
  <c r="F26" i="3"/>
  <c r="N26" i="3" s="1"/>
  <c r="L21" i="3"/>
  <c r="P5" i="3"/>
  <c r="F29" i="3"/>
  <c r="H29" i="3" s="1"/>
  <c r="H13" i="3" s="1"/>
  <c r="H38" i="3" s="1"/>
  <c r="I6" i="2"/>
  <c r="I86" i="2" s="1"/>
  <c r="I87" i="2" s="1"/>
  <c r="H8" i="2"/>
  <c r="H9" i="2" s="1"/>
  <c r="J33" i="3"/>
  <c r="L33" i="3"/>
  <c r="L37" i="3" s="1"/>
  <c r="N33" i="3"/>
  <c r="H33" i="3"/>
  <c r="N21" i="3"/>
  <c r="B22" i="3"/>
  <c r="B27" i="3" s="1"/>
  <c r="H51" i="3" s="1"/>
  <c r="J36" i="3"/>
  <c r="H36" i="3"/>
  <c r="N36" i="3"/>
  <c r="J47" i="3"/>
  <c r="L20" i="3"/>
  <c r="L9" i="3"/>
  <c r="N9" i="3"/>
  <c r="H95" i="2" l="1"/>
  <c r="H96" i="2" s="1"/>
  <c r="G37" i="2"/>
  <c r="G39" i="2" s="1"/>
  <c r="G71" i="2"/>
  <c r="G74" i="2" s="1"/>
  <c r="I88" i="2"/>
  <c r="I95" i="2"/>
  <c r="I96" i="2" s="1"/>
  <c r="I100" i="2" s="1"/>
  <c r="I104" i="2" s="1"/>
  <c r="M38" i="2"/>
  <c r="M17" i="2"/>
  <c r="J64" i="2"/>
  <c r="I66" i="2"/>
  <c r="M14" i="2"/>
  <c r="I23" i="2"/>
  <c r="I26" i="2" s="1"/>
  <c r="I69" i="2"/>
  <c r="J68" i="2"/>
  <c r="J23" i="2" s="1"/>
  <c r="F28" i="3"/>
  <c r="H27" i="3" s="1"/>
  <c r="F38" i="3"/>
  <c r="F41" i="3" s="1"/>
  <c r="F43" i="3" s="1"/>
  <c r="F45" i="3" s="1"/>
  <c r="J26" i="3"/>
  <c r="H26" i="3"/>
  <c r="L26" i="3"/>
  <c r="J37" i="3"/>
  <c r="H37" i="3"/>
  <c r="H19" i="2"/>
  <c r="H20" i="2"/>
  <c r="H10" i="3"/>
  <c r="H32" i="3" s="1"/>
  <c r="J6" i="2"/>
  <c r="J86" i="2" s="1"/>
  <c r="J87" i="2" s="1"/>
  <c r="I8" i="2"/>
  <c r="I9" i="2" s="1"/>
  <c r="B30" i="3"/>
  <c r="B31" i="3" s="1"/>
  <c r="L40" i="3" s="1"/>
  <c r="L15" i="3" s="1"/>
  <c r="N37" i="3"/>
  <c r="J51" i="3"/>
  <c r="L51" i="3"/>
  <c r="N51" i="3"/>
  <c r="H12" i="3"/>
  <c r="J12" i="3" s="1"/>
  <c r="L12" i="3" s="1"/>
  <c r="N12" i="3" s="1"/>
  <c r="L47" i="3"/>
  <c r="J29" i="3"/>
  <c r="J13" i="3" s="1"/>
  <c r="J38" i="3" s="1"/>
  <c r="N20" i="3"/>
  <c r="G54" i="2" l="1"/>
  <c r="G55" i="2" s="1"/>
  <c r="H40" i="3"/>
  <c r="H15" i="3" s="1"/>
  <c r="J40" i="3"/>
  <c r="J15" i="3" s="1"/>
  <c r="J22" i="2"/>
  <c r="J26" i="2" s="1"/>
  <c r="H100" i="2"/>
  <c r="J88" i="2"/>
  <c r="J95" i="2"/>
  <c r="J96" i="2" s="1"/>
  <c r="J100" i="2" s="1"/>
  <c r="J104" i="2" s="1"/>
  <c r="K64" i="2"/>
  <c r="K66" i="2" s="1"/>
  <c r="L12" i="2" s="1"/>
  <c r="J66" i="2"/>
  <c r="N40" i="3"/>
  <c r="N15" i="3" s="1"/>
  <c r="F30" i="3"/>
  <c r="J69" i="2"/>
  <c r="K68" i="2"/>
  <c r="K69" i="2" s="1"/>
  <c r="H28" i="2"/>
  <c r="J10" i="3"/>
  <c r="J32" i="3" s="1"/>
  <c r="I20" i="2"/>
  <c r="I28" i="2" s="1"/>
  <c r="I19" i="2"/>
  <c r="K6" i="2"/>
  <c r="J8" i="2"/>
  <c r="J9" i="2" s="1"/>
  <c r="H41" i="3"/>
  <c r="H42" i="3" s="1"/>
  <c r="H16" i="3" s="1"/>
  <c r="H18" i="3" s="1"/>
  <c r="N47" i="3"/>
  <c r="L29" i="3"/>
  <c r="L13" i="3" s="1"/>
  <c r="L38" i="3" s="1"/>
  <c r="G60" i="2" l="1"/>
  <c r="G62" i="2" s="1"/>
  <c r="G76" i="2" s="1"/>
  <c r="H53" i="2"/>
  <c r="J41" i="3"/>
  <c r="J42" i="3" s="1"/>
  <c r="J16" i="3" s="1"/>
  <c r="J18" i="3" s="1"/>
  <c r="L43" i="2"/>
  <c r="M12" i="2"/>
  <c r="M15" i="2" s="1"/>
  <c r="L15" i="2"/>
  <c r="H30" i="2"/>
  <c r="H32" i="2" s="1"/>
  <c r="H71" i="2" s="1"/>
  <c r="L10" i="3"/>
  <c r="L32" i="3" s="1"/>
  <c r="L41" i="3" s="1"/>
  <c r="H104" i="2"/>
  <c r="M6" i="2"/>
  <c r="O17" i="2" s="1"/>
  <c r="K86" i="2"/>
  <c r="K87" i="2" s="1"/>
  <c r="K23" i="2"/>
  <c r="M23" i="2" s="1"/>
  <c r="K22" i="2"/>
  <c r="I30" i="2"/>
  <c r="I32" i="2" s="1"/>
  <c r="J20" i="2"/>
  <c r="J28" i="2" s="1"/>
  <c r="J19" i="2"/>
  <c r="K8" i="2"/>
  <c r="K9" i="2" s="1"/>
  <c r="N29" i="3"/>
  <c r="N13" i="3" s="1"/>
  <c r="N38" i="3" s="1"/>
  <c r="H23" i="3"/>
  <c r="H24" i="3" s="1"/>
  <c r="H43" i="3"/>
  <c r="H45" i="3" s="1"/>
  <c r="H28" i="3" s="1"/>
  <c r="N10" i="3" l="1"/>
  <c r="N32" i="3" s="1"/>
  <c r="O15" i="2"/>
  <c r="M43" i="2"/>
  <c r="L44" i="2"/>
  <c r="M44" i="2" s="1"/>
  <c r="L20" i="2"/>
  <c r="L28" i="2" s="1"/>
  <c r="L19" i="2"/>
  <c r="I37" i="2"/>
  <c r="I39" i="2" s="1"/>
  <c r="I54" i="2" s="1"/>
  <c r="M87" i="2"/>
  <c r="M86" i="2"/>
  <c r="I71" i="2"/>
  <c r="K26" i="2"/>
  <c r="M22" i="2"/>
  <c r="M26" i="2" s="1"/>
  <c r="O26" i="2" s="1"/>
  <c r="H37" i="2"/>
  <c r="H39" i="2" s="1"/>
  <c r="H74" i="2"/>
  <c r="J30" i="2"/>
  <c r="K19" i="2"/>
  <c r="K20" i="2"/>
  <c r="M8" i="2"/>
  <c r="J23" i="3"/>
  <c r="J24" i="3" s="1"/>
  <c r="N41" i="3"/>
  <c r="J43" i="3"/>
  <c r="J45" i="3" s="1"/>
  <c r="J28" i="3" s="1"/>
  <c r="L42" i="3"/>
  <c r="L16" i="3" s="1"/>
  <c r="L18" i="3" s="1"/>
  <c r="J27" i="3"/>
  <c r="H30" i="3"/>
  <c r="M88" i="2" l="1"/>
  <c r="O88" i="2"/>
  <c r="M9" i="2"/>
  <c r="O9" i="2"/>
  <c r="M19" i="2"/>
  <c r="O19" i="2" s="1"/>
  <c r="L30" i="2"/>
  <c r="L32" i="2" s="1"/>
  <c r="L37" i="2" s="1"/>
  <c r="L39" i="2" s="1"/>
  <c r="J32" i="2"/>
  <c r="J71" i="2" s="1"/>
  <c r="K95" i="2"/>
  <c r="K96" i="2" s="1"/>
  <c r="K88" i="2"/>
  <c r="K28" i="2"/>
  <c r="H54" i="2"/>
  <c r="H55" i="2" s="1"/>
  <c r="H60" i="2" s="1"/>
  <c r="I74" i="2"/>
  <c r="M20" i="2"/>
  <c r="O20" i="2" s="1"/>
  <c r="L43" i="3"/>
  <c r="L45" i="3" s="1"/>
  <c r="L28" i="3" s="1"/>
  <c r="L23" i="3"/>
  <c r="L24" i="3" s="1"/>
  <c r="L27" i="3"/>
  <c r="J30" i="3"/>
  <c r="N42" i="3"/>
  <c r="N16" i="3" s="1"/>
  <c r="N18" i="3" s="1"/>
  <c r="M28" i="2" l="1"/>
  <c r="O28" i="2" s="1"/>
  <c r="J37" i="2"/>
  <c r="J39" i="2" s="1"/>
  <c r="J54" i="2" s="1"/>
  <c r="M95" i="2"/>
  <c r="O95" i="2" s="1"/>
  <c r="K30" i="2"/>
  <c r="M30" i="2" s="1"/>
  <c r="O30" i="2" s="1"/>
  <c r="K100" i="2"/>
  <c r="M96" i="2"/>
  <c r="O96" i="2" s="1"/>
  <c r="I53" i="2"/>
  <c r="I55" i="2" s="1"/>
  <c r="I60" i="2" s="1"/>
  <c r="J74" i="2"/>
  <c r="N43" i="3"/>
  <c r="N45" i="3" s="1"/>
  <c r="N28" i="3" s="1"/>
  <c r="P18" i="3"/>
  <c r="N23" i="3"/>
  <c r="N24" i="3" s="1"/>
  <c r="N27" i="3"/>
  <c r="L30" i="3"/>
  <c r="K32" i="2" l="1"/>
  <c r="M32" i="2" s="1"/>
  <c r="O32" i="2" s="1"/>
  <c r="K104" i="2"/>
  <c r="M100" i="2"/>
  <c r="O100" i="2" s="1"/>
  <c r="H62" i="2"/>
  <c r="H76" i="2" s="1"/>
  <c r="J53" i="2"/>
  <c r="J55" i="2" s="1"/>
  <c r="J60" i="2" s="1"/>
  <c r="N30" i="3"/>
  <c r="L48" i="3"/>
  <c r="L49" i="3" s="1"/>
  <c r="H48" i="3"/>
  <c r="H49" i="3" s="1"/>
  <c r="K37" i="2" l="1"/>
  <c r="K39" i="2" s="1"/>
  <c r="K54" i="2" s="1"/>
  <c r="K71" i="2"/>
  <c r="L71" i="2" s="1"/>
  <c r="L74" i="2" s="1"/>
  <c r="P74" i="2" s="1"/>
  <c r="M104" i="2"/>
  <c r="O104" i="2" s="1"/>
  <c r="I62" i="2"/>
  <c r="I76" i="2" s="1"/>
  <c r="K53" i="2"/>
  <c r="M39" i="2"/>
  <c r="H50" i="3"/>
  <c r="H52" i="3" s="1"/>
  <c r="L50" i="3"/>
  <c r="L52" i="3" s="1"/>
  <c r="N48" i="3"/>
  <c r="N49" i="3" s="1"/>
  <c r="J48" i="3"/>
  <c r="J49" i="3" s="1"/>
  <c r="M37" i="2" l="1"/>
  <c r="K74" i="2"/>
  <c r="K55" i="2"/>
  <c r="K60" i="2" s="1"/>
  <c r="J62" i="2"/>
  <c r="J76" i="2" s="1"/>
  <c r="J50" i="3"/>
  <c r="J52" i="3" s="1"/>
  <c r="N50" i="3"/>
  <c r="N52" i="3" s="1"/>
  <c r="L53" i="2" l="1"/>
  <c r="K62" i="2"/>
  <c r="K76" i="2" s="1"/>
  <c r="H106" i="2" l="1"/>
  <c r="I106" i="2" s="1"/>
  <c r="J106" i="2" s="1"/>
  <c r="K106" i="2" s="1"/>
  <c r="L106" i="2" s="1"/>
  <c r="M108" i="2"/>
  <c r="H110" i="2"/>
  <c r="I110" i="2" s="1"/>
  <c r="H130" i="2"/>
  <c r="H131" i="2" s="1"/>
  <c r="M130" i="2" l="1"/>
  <c r="H139" i="2"/>
  <c r="G133" i="2"/>
  <c r="G134" i="2"/>
  <c r="J110" i="2"/>
  <c r="I112" i="2"/>
  <c r="M131" i="2"/>
  <c r="H112" i="2"/>
  <c r="K110" i="2" l="1"/>
  <c r="J112" i="2"/>
  <c r="K112" i="2" l="1"/>
  <c r="L110" i="2"/>
  <c r="L112" i="2" l="1"/>
  <c r="P110" i="2"/>
  <c r="P144" i="2" s="1"/>
  <c r="M50" i="2" l="1"/>
  <c r="L51" i="2"/>
  <c r="M51" i="2" s="1"/>
  <c r="M119" i="2"/>
  <c r="L120" i="2"/>
  <c r="L139" i="2" s="1"/>
  <c r="G140" i="2" l="1"/>
  <c r="L54" i="2"/>
  <c r="M54" i="2" s="1"/>
  <c r="G123" i="2"/>
  <c r="G141" i="2" s="1"/>
  <c r="G122" i="2"/>
  <c r="L55" i="2"/>
  <c r="L60" i="2" s="1"/>
  <c r="L62" i="2" s="1"/>
  <c r="L76" i="2" s="1"/>
  <c r="M120" i="2"/>
  <c r="M139" i="2" s="1"/>
</calcChain>
</file>

<file path=xl/sharedStrings.xml><?xml version="1.0" encoding="utf-8"?>
<sst xmlns="http://schemas.openxmlformats.org/spreadsheetml/2006/main" count="301" uniqueCount="223">
  <si>
    <t>CAPEX USD</t>
  </si>
  <si>
    <t>Amortizáció év</t>
  </si>
  <si>
    <t>HUF / USD</t>
  </si>
  <si>
    <t>Üzemeltetés, karbantartás</t>
  </si>
  <si>
    <t>Javítás, szerviz</t>
  </si>
  <si>
    <t>BEAR</t>
  </si>
  <si>
    <t>BULL</t>
  </si>
  <si>
    <t>Gross margin</t>
  </si>
  <si>
    <t>%</t>
  </si>
  <si>
    <t>Total Capex</t>
  </si>
  <si>
    <t>Tax</t>
  </si>
  <si>
    <t>BTC bevétel</t>
  </si>
  <si>
    <t>Amortizáció</t>
  </si>
  <si>
    <t>Medve Szcenárió őszinte valós önrésszel + letéttel</t>
  </si>
  <si>
    <t xml:space="preserve">Konténer </t>
  </si>
  <si>
    <t>Gép / Konténer</t>
  </si>
  <si>
    <t>Gép szumma</t>
  </si>
  <si>
    <t>Gép ár USD</t>
  </si>
  <si>
    <t>Adatközpont + install USD</t>
  </si>
  <si>
    <t>Fogyasztás / gép W</t>
  </si>
  <si>
    <t>Áramár HUF / kWh</t>
  </si>
  <si>
    <t>Üzemidő</t>
  </si>
  <si>
    <t>Javítás, szerviz / CAPEX</t>
  </si>
  <si>
    <t>Üzemeltetés, karbantartás USD / hó / gép</t>
  </si>
  <si>
    <t>0</t>
  </si>
  <si>
    <t>Szumma</t>
  </si>
  <si>
    <t>1</t>
  </si>
  <si>
    <t>2</t>
  </si>
  <si>
    <t>3</t>
  </si>
  <si>
    <t>4</t>
  </si>
  <si>
    <t>USD</t>
  </si>
  <si>
    <t>HUF</t>
  </si>
  <si>
    <t>CAPEX</t>
  </si>
  <si>
    <t>Önrész / CAPEX</t>
  </si>
  <si>
    <t>Óvadéki letét</t>
  </si>
  <si>
    <t>Áram kW / év</t>
  </si>
  <si>
    <t>Áramár HUF / év</t>
  </si>
  <si>
    <t>Üzemeltetés, karbantartás USD / év</t>
  </si>
  <si>
    <t>Javítás, szerviz USD / év</t>
  </si>
  <si>
    <t>Amortizáció USD / év</t>
  </si>
  <si>
    <t>OPEX USD / év</t>
  </si>
  <si>
    <t>Bérleti díj % / OPEX</t>
  </si>
  <si>
    <t>Bérleti díj USD / év</t>
  </si>
  <si>
    <t>Hitel kamatláb</t>
  </si>
  <si>
    <t>Iparúzési adó</t>
  </si>
  <si>
    <t>IPA alap = Bérleti díj - OPEX + amortizáció USD / év</t>
  </si>
  <si>
    <t>IPA USD / év</t>
  </si>
  <si>
    <t>Társasági adó</t>
  </si>
  <si>
    <t>Nulladik év hossza hónap</t>
  </si>
  <si>
    <t>Jegyzett tőke</t>
  </si>
  <si>
    <t>Önerő</t>
  </si>
  <si>
    <t>Óvadék</t>
  </si>
  <si>
    <t>Hitel</t>
  </si>
  <si>
    <t>Egyéb</t>
  </si>
  <si>
    <t>Kamat</t>
  </si>
  <si>
    <t>Cash az időszak végén</t>
  </si>
  <si>
    <t>Gépek, berendezések</t>
  </si>
  <si>
    <t>Cash</t>
  </si>
  <si>
    <t>Eszközök összesen</t>
  </si>
  <si>
    <t>Eredménytartalék</t>
  </si>
  <si>
    <t>Eredmény</t>
  </si>
  <si>
    <t>Források összesen</t>
  </si>
  <si>
    <t>CF</t>
  </si>
  <si>
    <t>Mérleg</t>
  </si>
  <si>
    <t>P/L</t>
  </si>
  <si>
    <t>Bérleti díj</t>
  </si>
  <si>
    <t>Hiteltörlesztés</t>
  </si>
  <si>
    <t>Bérleti díj bevétel</t>
  </si>
  <si>
    <t>Áramár</t>
  </si>
  <si>
    <t>OPEX szumma</t>
  </si>
  <si>
    <t>IPA</t>
  </si>
  <si>
    <t>TAO alap</t>
  </si>
  <si>
    <t xml:space="preserve">TAO </t>
  </si>
  <si>
    <t>Admin</t>
  </si>
  <si>
    <t>Alapítás, admin., bank</t>
  </si>
  <si>
    <t>Admin, bank</t>
  </si>
  <si>
    <t>Adózott eredmény</t>
  </si>
  <si>
    <t>Osztalék</t>
  </si>
  <si>
    <t>Eredmény osztalék után</t>
  </si>
  <si>
    <t>OPEX - amortizáció</t>
  </si>
  <si>
    <t>TAO</t>
  </si>
  <si>
    <t>Hong Kong</t>
  </si>
  <si>
    <t>BTC átlagár</t>
  </si>
  <si>
    <t>BTC db</t>
  </si>
  <si>
    <t>HK admin %</t>
  </si>
  <si>
    <t>Net profit</t>
  </si>
  <si>
    <t>5</t>
  </si>
  <si>
    <t>Servers per container unit</t>
  </si>
  <si>
    <t>Number of containers</t>
  </si>
  <si>
    <t>Server consumption (Watts)</t>
  </si>
  <si>
    <t>Portfolio Management fee</t>
  </si>
  <si>
    <t>Maintenance (USD/server/month)</t>
  </si>
  <si>
    <t>ASSUMPTIONS / INPUTS</t>
  </si>
  <si>
    <t>Server purchase price</t>
  </si>
  <si>
    <t>DAP price</t>
  </si>
  <si>
    <t>Electricity price USD/kWh</t>
  </si>
  <si>
    <t>Server annual uptime (%)</t>
  </si>
  <si>
    <t>Total Annual electricity consumption (kW)</t>
  </si>
  <si>
    <t>Annual maintenance (% of first year CAPEX)</t>
  </si>
  <si>
    <t>Installation fees per container (part of CAPEX, USD)</t>
  </si>
  <si>
    <t>Annual server park maintenance cost</t>
  </si>
  <si>
    <t xml:space="preserve">Annual server park repair cost </t>
  </si>
  <si>
    <t>Server linear depreciation (years)</t>
  </si>
  <si>
    <t>Annual depreciation charge</t>
  </si>
  <si>
    <t>Annual Opex USD</t>
  </si>
  <si>
    <t>Total Annual electricity consumption (USD)</t>
  </si>
  <si>
    <t>FINANCING</t>
  </si>
  <si>
    <t>INTERCO STRUCTURING</t>
  </si>
  <si>
    <t xml:space="preserve">Opex cost plus on SPV rental fee </t>
  </si>
  <si>
    <t>Annual rental charge</t>
  </si>
  <si>
    <t>Loan interest p.a.</t>
  </si>
  <si>
    <t>Other costs (hedging fee) p.a.</t>
  </si>
  <si>
    <t>TAX</t>
  </si>
  <si>
    <t>Corporate tax rate</t>
  </si>
  <si>
    <t>GENERAL</t>
  </si>
  <si>
    <t>Incubation period (months)</t>
  </si>
  <si>
    <t>Total Annual financing costs</t>
  </si>
  <si>
    <t>Revenue</t>
  </si>
  <si>
    <t>Inflation p.a.</t>
  </si>
  <si>
    <t>INCOME STATEMENT - SPV Co</t>
  </si>
  <si>
    <t>COGS</t>
  </si>
  <si>
    <t>Gross Margin</t>
  </si>
  <si>
    <t>YEAR</t>
  </si>
  <si>
    <t>Server maintenance</t>
  </si>
  <si>
    <t>Repairs</t>
  </si>
  <si>
    <t>DD&amp;A</t>
  </si>
  <si>
    <t>EBITDA</t>
  </si>
  <si>
    <t>EBIT</t>
  </si>
  <si>
    <t>Loan interest</t>
  </si>
  <si>
    <t>Hedging and other financial</t>
  </si>
  <si>
    <t>Total Interest Expense</t>
  </si>
  <si>
    <t>Loan duration years</t>
  </si>
  <si>
    <t>Total Loan requirement</t>
  </si>
  <si>
    <t>CASH FLOW STATEMENT - SPV Co</t>
  </si>
  <si>
    <t>Total Financing Cash Flow</t>
  </si>
  <si>
    <t>Loan repayments</t>
  </si>
  <si>
    <t>Debt issuance</t>
  </si>
  <si>
    <t>Total Capital Expenditures</t>
  </si>
  <si>
    <t>Asset purchase</t>
  </si>
  <si>
    <t>Maintenance</t>
  </si>
  <si>
    <t>Total SG&amp;A</t>
  </si>
  <si>
    <t>BALANCE SHEET - SPV Co</t>
  </si>
  <si>
    <t>Long Term Debt</t>
  </si>
  <si>
    <t>EBT</t>
  </si>
  <si>
    <t>Net Income</t>
  </si>
  <si>
    <t>Loan admin expense</t>
  </si>
  <si>
    <t>Dividend payments</t>
  </si>
  <si>
    <t>Cash and cash equivalents</t>
  </si>
  <si>
    <t>Total current assets</t>
  </si>
  <si>
    <t>Equity issuance</t>
  </si>
  <si>
    <t>Statutory capital</t>
  </si>
  <si>
    <t>Equity reserve</t>
  </si>
  <si>
    <t>Equity</t>
  </si>
  <si>
    <t>Retained earnings</t>
  </si>
  <si>
    <t>PP&amp;E</t>
  </si>
  <si>
    <t>Total non-current assets</t>
  </si>
  <si>
    <t>Accumulated depreciation</t>
  </si>
  <si>
    <t>Total cash flow for the period</t>
  </si>
  <si>
    <t>Depreciation</t>
  </si>
  <si>
    <t>Total cash at beginning of period</t>
  </si>
  <si>
    <t>Total cash at end of period</t>
  </si>
  <si>
    <t>Company wind-up</t>
  </si>
  <si>
    <t>Total Long-term liabilities</t>
  </si>
  <si>
    <t>CHECK</t>
  </si>
  <si>
    <t>RETURNS - Portfolio Management Offshore Company</t>
  </si>
  <si>
    <t>GENERAL - Portfolio Management Offshore Company</t>
  </si>
  <si>
    <t>Annual service revenue</t>
  </si>
  <si>
    <t>Change</t>
  </si>
  <si>
    <t>SG&amp;A</t>
  </si>
  <si>
    <t>Cash from Operations</t>
  </si>
  <si>
    <t>Restricted Cash</t>
  </si>
  <si>
    <t>SUM</t>
  </si>
  <si>
    <t>Net Revenue</t>
  </si>
  <si>
    <t>Corporate overhead</t>
  </si>
  <si>
    <t>VAR</t>
  </si>
  <si>
    <t>V</t>
  </si>
  <si>
    <t>Dividends</t>
  </si>
  <si>
    <t>BAL</t>
  </si>
  <si>
    <t>Cumulative NI</t>
  </si>
  <si>
    <t>IRR / NPV</t>
  </si>
  <si>
    <t>-CF</t>
  </si>
  <si>
    <t>+CF</t>
  </si>
  <si>
    <t>Total CF</t>
  </si>
  <si>
    <t>IRR</t>
  </si>
  <si>
    <t>DATE</t>
  </si>
  <si>
    <t>Discount</t>
  </si>
  <si>
    <t>NPV</t>
  </si>
  <si>
    <t>SPV Co</t>
  </si>
  <si>
    <t>Portfolio Management Offshore Company</t>
  </si>
  <si>
    <t xml:space="preserve">Apportioned CF </t>
  </si>
  <si>
    <t>TOTAL</t>
  </si>
  <si>
    <t>Restricted cash for loan</t>
  </si>
  <si>
    <t>Mandatory equity capital contribution (% of CAPEX)</t>
  </si>
  <si>
    <t>Annual loan admin expense</t>
  </si>
  <si>
    <t>Reserves</t>
  </si>
  <si>
    <t>Image source: https://www.bmc.com/blogs/saas-vs-paas-vs-iaas-whats-the-difference-and-how-to-choose/</t>
  </si>
  <si>
    <t>Markup to imported price</t>
  </si>
  <si>
    <t>Imported price markup finance (VAT, other taxes)</t>
  </si>
  <si>
    <t>Imported price markup financing period (months)</t>
  </si>
  <si>
    <t>Import finance costs</t>
  </si>
  <si>
    <t>END</t>
  </si>
  <si>
    <t xml:space="preserve">Total number of servers </t>
  </si>
  <si>
    <t>Base annual revenue</t>
  </si>
  <si>
    <t>Per server per month revenue USD</t>
  </si>
  <si>
    <t>(Gain) / loss on sale of PP&amp;E</t>
  </si>
  <si>
    <t xml:space="preserve">Asset sale </t>
  </si>
  <si>
    <t>Margins</t>
  </si>
  <si>
    <t>Difference purchase-imported price</t>
  </si>
  <si>
    <t>REVENUE</t>
  </si>
  <si>
    <t>CONSOLIDATED EQUITY</t>
  </si>
  <si>
    <t>3-STATEMENT 5 YEAR MODEL</t>
  </si>
  <si>
    <t>Annual portfolio management fee</t>
  </si>
  <si>
    <t xml:space="preserve">CASE  </t>
  </si>
  <si>
    <t>Portfolio management fee</t>
  </si>
  <si>
    <t>CASH RETURN</t>
  </si>
  <si>
    <t>TOTAL NET INCOME</t>
  </si>
  <si>
    <t>DOWNSIDE</t>
  </si>
  <si>
    <t>BALANCED</t>
  </si>
  <si>
    <t>UPSIDE</t>
  </si>
  <si>
    <t>INVESTMENT</t>
  </si>
  <si>
    <t>2.47x</t>
  </si>
  <si>
    <t>4.43x</t>
  </si>
  <si>
    <t>1.34x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</si>
</sst>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#,##0.00\ _F_t;[Red]\-#,##0.00\ _F_t"/>
    <numFmt numFmtId="168" formatCode="#,##0.0000\ _F_t;[Red]\-#,##0.0000\ _F_t"/>
    <numFmt numFmtId="169" formatCode="0.000%"/>
    <numFmt numFmtId="170" formatCode="#,##0.0_);[Red]\(#,##0.0\);0.0_);@_)"/>
    <numFmt numFmtId="171" formatCode="#,##0.000_);[Red]\(#,##0.000\);0.000_);@_)"/>
    <numFmt numFmtId="174" formatCode="#,##0_);[Red]\(#,##0\);0_);@_)"/>
  </numFmts>
  <fonts count="1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6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theme="4" tint="-0.249977111117893"/>
      <name val="Calibri"/>
      <family val="2"/>
      <charset val="238"/>
      <scheme val="minor"/>
    </font>
    <font>
      <sz val="11"/>
      <color theme="0" tint="-0.14999847407452621"/>
      <name val="Calibri"/>
      <family val="2"/>
      <charset val="238"/>
      <scheme val="minor"/>
    </font>
    <font>
      <b/>
      <sz val="11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9">
    <xf numFmtId="0" fontId="0" fillId="0" borderId="0" xfId="0"/>
    <xf numFmtId="164" fontId="0" fillId="0" borderId="0" xfId="1" applyFont="1"/>
    <xf numFmtId="165" fontId="0" fillId="0" borderId="0" xfId="1" applyNumberFormat="1" applyFont="1"/>
    <xf numFmtId="0" fontId="3" fillId="0" borderId="0" xfId="0" applyFont="1"/>
    <xf numFmtId="164" fontId="3" fillId="0" borderId="0" xfId="1" applyFont="1"/>
    <xf numFmtId="164" fontId="0" fillId="0" borderId="0" xfId="1" applyFont="1" applyBorder="1"/>
    <xf numFmtId="0" fontId="4" fillId="0" borderId="0" xfId="0" applyFont="1" applyAlignment="1">
      <alignment horizontal="center" vertical="center"/>
    </xf>
    <xf numFmtId="0" fontId="0" fillId="0" borderId="0" xfId="1" applyNumberFormat="1" applyFont="1"/>
    <xf numFmtId="166" fontId="0" fillId="0" borderId="0" xfId="2" applyNumberFormat="1" applyFont="1" applyBorder="1"/>
    <xf numFmtId="164" fontId="5" fillId="0" borderId="0" xfId="1" applyFont="1"/>
    <xf numFmtId="0" fontId="5" fillId="0" borderId="0" xfId="1" applyNumberFormat="1" applyFont="1"/>
    <xf numFmtId="164" fontId="5" fillId="0" borderId="0" xfId="1" applyFont="1" applyFill="1"/>
    <xf numFmtId="10" fontId="0" fillId="4" borderId="0" xfId="2" applyNumberFormat="1" applyFont="1" applyFill="1"/>
    <xf numFmtId="167" fontId="6" fillId="0" borderId="0" xfId="1" applyNumberFormat="1" applyFont="1"/>
    <xf numFmtId="167" fontId="6" fillId="0" borderId="0" xfId="1" applyNumberFormat="1" applyFont="1" applyFill="1"/>
    <xf numFmtId="167" fontId="6" fillId="0" borderId="0" xfId="0" applyNumberFormat="1" applyFont="1"/>
    <xf numFmtId="167" fontId="0" fillId="0" borderId="0" xfId="0" applyNumberFormat="1"/>
    <xf numFmtId="167" fontId="0" fillId="0" borderId="0" xfId="1" applyNumberFormat="1" applyFont="1"/>
    <xf numFmtId="167" fontId="0" fillId="0" borderId="0" xfId="1" applyNumberFormat="1" applyFont="1" applyFill="1"/>
    <xf numFmtId="167" fontId="0" fillId="3" borderId="0" xfId="1" applyNumberFormat="1" applyFont="1" applyFill="1"/>
    <xf numFmtId="167" fontId="0" fillId="5" borderId="0" xfId="1" applyNumberFormat="1" applyFont="1" applyFill="1"/>
    <xf numFmtId="167" fontId="0" fillId="4" borderId="0" xfId="1" applyNumberFormat="1" applyFont="1" applyFill="1"/>
    <xf numFmtId="167" fontId="0" fillId="0" borderId="0" xfId="2" applyNumberFormat="1" applyFont="1" applyFill="1"/>
    <xf numFmtId="10" fontId="0" fillId="3" borderId="0" xfId="2" applyNumberFormat="1" applyFont="1" applyFill="1"/>
    <xf numFmtId="167" fontId="2" fillId="0" borderId="0" xfId="1" applyNumberFormat="1" applyFont="1" applyAlignment="1">
      <alignment horizontal="center"/>
    </xf>
    <xf numFmtId="167" fontId="0" fillId="0" borderId="0" xfId="1" applyNumberFormat="1" applyFont="1" applyFill="1" applyAlignment="1">
      <alignment horizontal="right"/>
    </xf>
    <xf numFmtId="167" fontId="0" fillId="0" borderId="0" xfId="2" applyNumberFormat="1" applyFont="1" applyFill="1" applyAlignment="1">
      <alignment horizontal="right"/>
    </xf>
    <xf numFmtId="167" fontId="0" fillId="2" borderId="0" xfId="1" applyNumberFormat="1" applyFont="1" applyFill="1"/>
    <xf numFmtId="0" fontId="0" fillId="6" borderId="0" xfId="0" applyFill="1"/>
    <xf numFmtId="0" fontId="0" fillId="2" borderId="0" xfId="0" applyFill="1"/>
    <xf numFmtId="0" fontId="5" fillId="0" borderId="0" xfId="0" applyFont="1"/>
    <xf numFmtId="0" fontId="0" fillId="0" borderId="0" xfId="0" applyFill="1"/>
    <xf numFmtId="164" fontId="7" fillId="4" borderId="1" xfId="1" applyNumberFormat="1" applyFont="1" applyFill="1" applyBorder="1"/>
    <xf numFmtId="9" fontId="7" fillId="4" borderId="1" xfId="1" applyNumberFormat="1" applyFont="1" applyFill="1" applyBorder="1"/>
    <xf numFmtId="166" fontId="7" fillId="4" borderId="1" xfId="2" applyNumberFormat="1" applyFont="1" applyFill="1" applyBorder="1"/>
    <xf numFmtId="165" fontId="7" fillId="4" borderId="1" xfId="1" applyNumberFormat="1" applyFont="1" applyFill="1" applyBorder="1"/>
    <xf numFmtId="0" fontId="4" fillId="2" borderId="0" xfId="0" applyFont="1" applyFill="1"/>
    <xf numFmtId="167" fontId="8" fillId="2" borderId="0" xfId="1" applyNumberFormat="1" applyFont="1" applyFill="1"/>
    <xf numFmtId="167" fontId="6" fillId="2" borderId="0" xfId="1" applyNumberFormat="1" applyFont="1" applyFill="1"/>
    <xf numFmtId="9" fontId="7" fillId="4" borderId="1" xfId="2" applyFont="1" applyFill="1" applyBorder="1"/>
    <xf numFmtId="43" fontId="0" fillId="0" borderId="0" xfId="0" applyNumberFormat="1"/>
    <xf numFmtId="43" fontId="5" fillId="0" borderId="0" xfId="0" applyNumberFormat="1" applyFont="1"/>
    <xf numFmtId="0" fontId="0" fillId="0" borderId="0" xfId="1" applyNumberFormat="1" applyFont="1" applyFill="1" applyBorder="1"/>
    <xf numFmtId="164" fontId="7" fillId="4" borderId="2" xfId="1" applyFont="1" applyFill="1" applyBorder="1"/>
    <xf numFmtId="168" fontId="0" fillId="0" borderId="0" xfId="0" applyNumberFormat="1"/>
    <xf numFmtId="164" fontId="4" fillId="2" borderId="0" xfId="1" applyFont="1" applyFill="1"/>
    <xf numFmtId="10" fontId="7" fillId="4" borderId="1" xfId="2" applyNumberFormat="1" applyFont="1" applyFill="1" applyBorder="1"/>
    <xf numFmtId="0" fontId="4" fillId="6" borderId="0" xfId="0" applyFont="1" applyFill="1"/>
    <xf numFmtId="10" fontId="5" fillId="0" borderId="0" xfId="0" applyNumberFormat="1" applyFont="1"/>
    <xf numFmtId="167" fontId="4" fillId="0" borderId="0" xfId="1" applyNumberFormat="1" applyFont="1" applyFill="1"/>
    <xf numFmtId="167" fontId="4" fillId="6" borderId="0" xfId="1" applyNumberFormat="1" applyFont="1" applyFill="1"/>
    <xf numFmtId="167" fontId="0" fillId="6" borderId="0" xfId="1" applyNumberFormat="1" applyFont="1" applyFill="1"/>
    <xf numFmtId="167" fontId="4" fillId="0" borderId="0" xfId="1" applyNumberFormat="1" applyFont="1"/>
    <xf numFmtId="167" fontId="4" fillId="0" borderId="0" xfId="1" applyNumberFormat="1" applyFont="1" applyAlignment="1">
      <alignment horizontal="center" vertical="center"/>
    </xf>
    <xf numFmtId="167" fontId="9" fillId="0" borderId="0" xfId="1" applyNumberFormat="1" applyFont="1" applyFill="1"/>
    <xf numFmtId="167" fontId="4" fillId="0" borderId="0" xfId="1" applyNumberFormat="1" applyFont="1" applyFill="1" applyAlignment="1">
      <alignment horizontal="center" vertical="center"/>
    </xf>
    <xf numFmtId="0" fontId="4" fillId="0" borderId="0" xfId="0" applyFont="1"/>
    <xf numFmtId="167" fontId="4" fillId="0" borderId="0" xfId="0" applyNumberFormat="1" applyFont="1"/>
    <xf numFmtId="164" fontId="7" fillId="4" borderId="1" xfId="1" applyFont="1" applyFill="1" applyBorder="1"/>
    <xf numFmtId="167" fontId="9" fillId="0" borderId="0" xfId="1" applyNumberFormat="1" applyFont="1"/>
    <xf numFmtId="167" fontId="9" fillId="0" borderId="0" xfId="0" applyNumberFormat="1" applyFont="1"/>
    <xf numFmtId="0" fontId="9" fillId="0" borderId="0" xfId="0" applyFont="1"/>
    <xf numFmtId="167" fontId="0" fillId="0" borderId="3" xfId="1" applyNumberFormat="1" applyFont="1" applyFill="1" applyBorder="1"/>
    <xf numFmtId="167" fontId="0" fillId="0" borderId="4" xfId="1" applyNumberFormat="1" applyFont="1" applyFill="1" applyBorder="1"/>
    <xf numFmtId="0" fontId="0" fillId="7" borderId="0" xfId="0" applyFill="1"/>
    <xf numFmtId="0" fontId="4" fillId="7" borderId="0" xfId="0" applyFont="1" applyFill="1"/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 applyBorder="1"/>
    <xf numFmtId="164" fontId="0" fillId="0" borderId="0" xfId="0" applyNumberFormat="1"/>
    <xf numFmtId="0" fontId="0" fillId="0" borderId="0" xfId="0" applyAlignment="1"/>
    <xf numFmtId="0" fontId="4" fillId="7" borderId="0" xfId="0" applyFont="1" applyFill="1" applyAlignment="1"/>
    <xf numFmtId="166" fontId="0" fillId="0" borderId="0" xfId="2" applyNumberFormat="1" applyFont="1"/>
    <xf numFmtId="166" fontId="0" fillId="0" borderId="0" xfId="2" applyNumberFormat="1" applyFont="1" applyFill="1"/>
    <xf numFmtId="167" fontId="8" fillId="2" borderId="0" xfId="1" applyNumberFormat="1" applyFont="1" applyFill="1" applyAlignment="1">
      <alignment horizontal="center" vertical="center"/>
    </xf>
    <xf numFmtId="167" fontId="4" fillId="2" borderId="0" xfId="1" applyNumberFormat="1" applyFont="1" applyFill="1"/>
    <xf numFmtId="0" fontId="0" fillId="0" borderId="0" xfId="1" applyNumberFormat="1" applyFont="1" applyAlignment="1">
      <alignment horizontal="right"/>
    </xf>
    <xf numFmtId="0" fontId="9" fillId="0" borderId="0" xfId="1" applyNumberFormat="1" applyFont="1" applyAlignment="1">
      <alignment horizontal="right" vertical="center"/>
    </xf>
    <xf numFmtId="0" fontId="4" fillId="0" borderId="0" xfId="0" applyFont="1" applyAlignment="1">
      <alignment vertical="center"/>
    </xf>
    <xf numFmtId="167" fontId="12" fillId="2" borderId="0" xfId="1" applyNumberFormat="1" applyFont="1" applyFill="1" applyAlignment="1">
      <alignment horizontal="center" vertical="center"/>
    </xf>
    <xf numFmtId="167" fontId="4" fillId="0" borderId="0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167" fontId="4" fillId="0" borderId="0" xfId="1" applyNumberFormat="1" applyFont="1" applyBorder="1"/>
    <xf numFmtId="167" fontId="9" fillId="0" borderId="0" xfId="1" applyNumberFormat="1" applyFont="1" applyBorder="1"/>
    <xf numFmtId="167" fontId="0" fillId="6" borderId="0" xfId="1" applyNumberFormat="1" applyFont="1" applyFill="1" applyBorder="1"/>
    <xf numFmtId="167" fontId="0" fillId="0" borderId="0" xfId="0" applyNumberFormat="1" applyBorder="1"/>
    <xf numFmtId="167" fontId="4" fillId="6" borderId="0" xfId="1" applyNumberFormat="1" applyFont="1" applyFill="1" applyBorder="1"/>
    <xf numFmtId="0" fontId="14" fillId="0" borderId="0" xfId="0" applyFont="1" applyAlignment="1">
      <alignment horizontal="center" vertical="center"/>
    </xf>
    <xf numFmtId="167" fontId="4" fillId="0" borderId="0" xfId="0" applyNumberFormat="1" applyFont="1" applyAlignment="1">
      <alignment horizontal="center" vertical="center"/>
    </xf>
    <xf numFmtId="166" fontId="4" fillId="0" borderId="0" xfId="2" applyNumberFormat="1" applyFont="1" applyAlignment="1">
      <alignment horizontal="center" vertical="center"/>
    </xf>
    <xf numFmtId="0" fontId="4" fillId="0" borderId="0" xfId="1" applyNumberFormat="1" applyFont="1" applyBorder="1" applyAlignment="1">
      <alignment horizontal="center"/>
    </xf>
    <xf numFmtId="167" fontId="6" fillId="2" borderId="0" xfId="1" applyNumberFormat="1" applyFont="1" applyFill="1" applyBorder="1"/>
    <xf numFmtId="167" fontId="0" fillId="0" borderId="0" xfId="1" quotePrefix="1" applyNumberFormat="1" applyFont="1" applyFill="1"/>
    <xf numFmtId="14" fontId="7" fillId="4" borderId="1" xfId="1" applyNumberFormat="1" applyFont="1" applyFill="1" applyBorder="1"/>
    <xf numFmtId="14" fontId="0" fillId="0" borderId="0" xfId="1" applyNumberFormat="1" applyFont="1"/>
    <xf numFmtId="169" fontId="4" fillId="0" borderId="0" xfId="2" applyNumberFormat="1" applyFont="1" applyBorder="1"/>
    <xf numFmtId="0" fontId="4" fillId="0" borderId="0" xfId="1" applyNumberFormat="1" applyFont="1" applyAlignment="1">
      <alignment horizontal="center"/>
    </xf>
    <xf numFmtId="0" fontId="10" fillId="6" borderId="0" xfId="0" applyFont="1" applyFill="1" applyAlignment="1">
      <alignment horizontal="left" vertical="center"/>
    </xf>
    <xf numFmtId="167" fontId="4" fillId="0" borderId="7" xfId="1" applyNumberFormat="1" applyFont="1" applyFill="1" applyBorder="1"/>
    <xf numFmtId="166" fontId="0" fillId="0" borderId="7" xfId="2" applyNumberFormat="1" applyFont="1" applyBorder="1"/>
    <xf numFmtId="10" fontId="0" fillId="0" borderId="0" xfId="2" applyNumberFormat="1" applyFont="1"/>
    <xf numFmtId="14" fontId="9" fillId="0" borderId="0" xfId="1" applyNumberFormat="1" applyFont="1"/>
    <xf numFmtId="169" fontId="0" fillId="0" borderId="0" xfId="2" applyNumberFormat="1" applyFont="1"/>
    <xf numFmtId="166" fontId="9" fillId="0" borderId="0" xfId="2" applyNumberFormat="1" applyFont="1" applyFill="1"/>
    <xf numFmtId="10" fontId="9" fillId="0" borderId="0" xfId="2" applyNumberFormat="1" applyFont="1"/>
    <xf numFmtId="167" fontId="13" fillId="0" borderId="0" xfId="1" applyNumberFormat="1" applyFont="1" applyAlignment="1">
      <alignment horizontal="center" vertical="center"/>
    </xf>
    <xf numFmtId="164" fontId="7" fillId="4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167" fontId="4" fillId="5" borderId="0" xfId="1" applyNumberFormat="1" applyFont="1" applyFill="1" applyAlignment="1">
      <alignment horizontal="center" vertical="center"/>
    </xf>
    <xf numFmtId="167" fontId="2" fillId="5" borderId="0" xfId="1" quotePrefix="1" applyNumberFormat="1" applyFont="1" applyFill="1" applyBorder="1" applyAlignment="1">
      <alignment horizontal="center"/>
    </xf>
    <xf numFmtId="0" fontId="2" fillId="5" borderId="0" xfId="1" quotePrefix="1" applyNumberFormat="1" applyFont="1" applyFill="1" applyAlignment="1">
      <alignment horizontal="center"/>
    </xf>
    <xf numFmtId="167" fontId="2" fillId="5" borderId="0" xfId="1" applyNumberFormat="1" applyFont="1" applyFill="1" applyAlignment="1">
      <alignment horizontal="center"/>
    </xf>
    <xf numFmtId="0" fontId="0" fillId="8" borderId="0" xfId="0" applyFill="1"/>
    <xf numFmtId="170" fontId="0" fillId="0" borderId="0" xfId="1" applyNumberFormat="1" applyFont="1"/>
    <xf numFmtId="170" fontId="4" fillId="0" borderId="0" xfId="1" applyNumberFormat="1" applyFont="1" applyBorder="1"/>
    <xf numFmtId="170" fontId="4" fillId="0" borderId="0" xfId="1" applyNumberFormat="1" applyFont="1"/>
    <xf numFmtId="170" fontId="9" fillId="0" borderId="0" xfId="1" applyNumberFormat="1" applyFont="1"/>
    <xf numFmtId="170" fontId="0" fillId="0" borderId="0" xfId="1" applyNumberFormat="1" applyFont="1" applyBorder="1"/>
    <xf numFmtId="170" fontId="9" fillId="0" borderId="0" xfId="0" applyNumberFormat="1" applyFont="1" applyBorder="1"/>
    <xf numFmtId="170" fontId="9" fillId="0" borderId="0" xfId="0" applyNumberFormat="1" applyFont="1"/>
    <xf numFmtId="170" fontId="7" fillId="4" borderId="1" xfId="1" applyNumberFormat="1" applyFont="1" applyFill="1" applyBorder="1"/>
    <xf numFmtId="170" fontId="0" fillId="0" borderId="0" xfId="0" applyNumberFormat="1" applyBorder="1"/>
    <xf numFmtId="170" fontId="0" fillId="0" borderId="0" xfId="0" applyNumberFormat="1"/>
    <xf numFmtId="170" fontId="0" fillId="0" borderId="4" xfId="1" applyNumberFormat="1" applyFont="1" applyBorder="1"/>
    <xf numFmtId="170" fontId="0" fillId="0" borderId="5" xfId="1" applyNumberFormat="1" applyFont="1" applyBorder="1"/>
    <xf numFmtId="170" fontId="10" fillId="0" borderId="0" xfId="1" applyNumberFormat="1" applyFont="1"/>
    <xf numFmtId="170" fontId="4" fillId="2" borderId="0" xfId="1" applyNumberFormat="1" applyFont="1" applyFill="1" applyAlignment="1">
      <alignment horizontal="center" vertical="center"/>
    </xf>
    <xf numFmtId="170" fontId="4" fillId="0" borderId="0" xfId="2" applyNumberFormat="1" applyFont="1"/>
    <xf numFmtId="170" fontId="7" fillId="4" borderId="6" xfId="1" applyNumberFormat="1" applyFont="1" applyFill="1" applyBorder="1"/>
    <xf numFmtId="170" fontId="11" fillId="4" borderId="1" xfId="1" applyNumberFormat="1" applyFont="1" applyFill="1" applyBorder="1"/>
    <xf numFmtId="170" fontId="11" fillId="4" borderId="6" xfId="1" applyNumberFormat="1" applyFont="1" applyFill="1" applyBorder="1"/>
    <xf numFmtId="170" fontId="0" fillId="0" borderId="4" xfId="1" applyNumberFormat="1" applyFont="1" applyBorder="1" applyAlignment="1">
      <alignment horizontal="center" vertical="center"/>
    </xf>
    <xf numFmtId="170" fontId="0" fillId="0" borderId="5" xfId="1" applyNumberFormat="1" applyFont="1" applyBorder="1" applyAlignment="1">
      <alignment horizontal="center" vertical="center"/>
    </xf>
    <xf numFmtId="170" fontId="4" fillId="0" borderId="0" xfId="0" applyNumberFormat="1" applyFont="1"/>
    <xf numFmtId="170" fontId="0" fillId="0" borderId="7" xfId="3" applyNumberFormat="1" applyFont="1" applyBorder="1"/>
    <xf numFmtId="10" fontId="6" fillId="0" borderId="0" xfId="2" applyNumberFormat="1" applyFont="1"/>
    <xf numFmtId="10" fontId="4" fillId="2" borderId="0" xfId="2" applyNumberFormat="1" applyFont="1" applyFill="1" applyAlignment="1">
      <alignment horizontal="center" vertical="center"/>
    </xf>
    <xf numFmtId="10" fontId="4" fillId="0" borderId="0" xfId="2" applyNumberFormat="1" applyFont="1"/>
    <xf numFmtId="170" fontId="4" fillId="0" borderId="8" xfId="1" applyNumberFormat="1" applyFont="1" applyBorder="1"/>
    <xf numFmtId="170" fontId="4" fillId="0" borderId="9" xfId="1" applyNumberFormat="1" applyFont="1" applyBorder="1"/>
    <xf numFmtId="167" fontId="4" fillId="2" borderId="0" xfId="1" applyNumberFormat="1" applyFont="1" applyFill="1" applyAlignment="1">
      <alignment horizontal="right"/>
    </xf>
    <xf numFmtId="171" fontId="4" fillId="0" borderId="0" xfId="1" applyNumberFormat="1" applyFont="1"/>
    <xf numFmtId="167" fontId="2" fillId="0" borderId="0" xfId="1" applyNumberFormat="1" applyFont="1" applyAlignment="1">
      <alignment horizontal="center"/>
    </xf>
    <xf numFmtId="167" fontId="2" fillId="0" borderId="0" xfId="1" quotePrefix="1" applyNumberFormat="1" applyFont="1" applyAlignment="1">
      <alignment horizontal="center"/>
    </xf>
    <xf numFmtId="170" fontId="9" fillId="0" borderId="0" xfId="0" applyNumberFormat="1" applyFont="1" applyAlignment="1">
      <alignment horizontal="right"/>
    </xf>
    <xf numFmtId="166" fontId="9" fillId="0" borderId="0" xfId="2" applyNumberFormat="1" applyFont="1"/>
    <xf numFmtId="174" fontId="9" fillId="0" borderId="0" xfId="0" applyNumberFormat="1" applyFont="1" applyAlignment="1">
      <alignment horizontal="right"/>
    </xf>
    <xf numFmtId="167" fontId="15" fillId="2" borderId="0" xfId="1" applyNumberFormat="1" applyFont="1" applyFill="1"/>
    <xf numFmtId="167" fontId="15" fillId="2" borderId="0" xfId="1" applyNumberFormat="1" applyFont="1" applyFill="1" applyAlignment="1">
      <alignment horizontal="center" vertical="center"/>
    </xf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244082</xdr:colOff>
      <xdr:row>3</xdr:row>
      <xdr:rowOff>14941</xdr:rowOff>
    </xdr:from>
    <xdr:to>
      <xdr:col>14</xdr:col>
      <xdr:colOff>1180352</xdr:colOff>
      <xdr:row>41</xdr:row>
      <xdr:rowOff>149411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3F5E47-D667-E040-8EF1-A1C954C23F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70788" y="597647"/>
          <a:ext cx="7510388" cy="75154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59"/>
  <sheetViews>
    <sheetView tabSelected="1" zoomScale="98" zoomScaleNormal="98" workbookViewId="0"/>
  </sheetViews>
  <sheetFormatPr baseColWidth="10" defaultColWidth="8.83203125" defaultRowHeight="15" x14ac:dyDescent="0.2"/>
  <cols>
    <col min="1" max="1" width="4.5" customWidth="1"/>
    <col min="2" max="2" width="7" customWidth="1"/>
    <col min="3" max="3" width="40.6640625" bestFit="1" customWidth="1"/>
    <col min="4" max="4" width="16.83203125" customWidth="1"/>
    <col min="5" max="6" width="3.5" customWidth="1"/>
    <col min="7" max="7" width="41.6640625" customWidth="1"/>
    <col min="8" max="8" width="15.33203125" customWidth="1"/>
    <col min="9" max="9" width="3.33203125" customWidth="1"/>
    <col min="10" max="10" width="17.5" customWidth="1"/>
    <col min="11" max="11" width="17.83203125" bestFit="1" customWidth="1"/>
    <col min="12" max="12" width="16.33203125" customWidth="1"/>
    <col min="13" max="13" width="16.83203125" customWidth="1"/>
    <col min="14" max="14" width="14.5" bestFit="1" customWidth="1"/>
    <col min="15" max="15" width="15.83203125" customWidth="1"/>
    <col min="16" max="16" width="16.33203125" customWidth="1"/>
    <col min="17" max="17" width="14.33203125" customWidth="1"/>
    <col min="18" max="18" width="15.33203125" customWidth="1"/>
    <col min="19" max="19" width="15.83203125" customWidth="1"/>
    <col min="20" max="20" width="15.1640625" customWidth="1"/>
    <col min="21" max="21" width="15.83203125" customWidth="1"/>
    <col min="22" max="22" width="13.33203125" bestFit="1" customWidth="1"/>
  </cols>
  <sheetData>
    <row r="1" spans="1:15" x14ac:dyDescent="0.2">
      <c r="A1" s="47" t="s">
        <v>92</v>
      </c>
      <c r="B1" s="28"/>
      <c r="C1" s="28"/>
      <c r="D1" s="28"/>
      <c r="E1" s="28"/>
      <c r="F1" s="28"/>
      <c r="G1" s="28"/>
      <c r="H1" s="28"/>
    </row>
    <row r="2" spans="1:15" x14ac:dyDescent="0.2">
      <c r="C2" s="40"/>
      <c r="D2" s="40"/>
    </row>
    <row r="3" spans="1:15" x14ac:dyDescent="0.2">
      <c r="B3" s="36" t="s">
        <v>114</v>
      </c>
      <c r="C3" s="29"/>
      <c r="D3" s="29"/>
      <c r="F3" s="45" t="s">
        <v>106</v>
      </c>
      <c r="G3" s="45"/>
      <c r="H3" s="45"/>
    </row>
    <row r="4" spans="1:15" x14ac:dyDescent="0.2">
      <c r="C4" t="s">
        <v>87</v>
      </c>
      <c r="D4" s="32">
        <v>300</v>
      </c>
      <c r="F4" s="1"/>
      <c r="G4" t="s">
        <v>192</v>
      </c>
      <c r="H4" s="46">
        <v>0.1</v>
      </c>
      <c r="J4" s="112"/>
      <c r="K4" s="112"/>
      <c r="L4" s="112"/>
      <c r="M4" s="112"/>
      <c r="N4" s="112"/>
      <c r="O4" s="112"/>
    </row>
    <row r="5" spans="1:15" x14ac:dyDescent="0.2">
      <c r="C5" t="s">
        <v>88</v>
      </c>
      <c r="D5" s="32">
        <v>125</v>
      </c>
      <c r="F5" s="1"/>
      <c r="G5" t="s">
        <v>110</v>
      </c>
      <c r="H5" s="46">
        <v>0.05</v>
      </c>
      <c r="J5" s="112"/>
      <c r="K5" s="112"/>
      <c r="L5" s="112"/>
      <c r="M5" s="112"/>
      <c r="N5" s="112"/>
      <c r="O5" s="112"/>
    </row>
    <row r="6" spans="1:15" x14ac:dyDescent="0.2">
      <c r="C6" t="s">
        <v>93</v>
      </c>
      <c r="D6" s="32">
        <v>1580</v>
      </c>
      <c r="G6" t="s">
        <v>111</v>
      </c>
      <c r="H6" s="46">
        <v>2.5000000000000001E-2</v>
      </c>
      <c r="J6" s="112"/>
      <c r="K6" s="112"/>
      <c r="L6" s="112"/>
      <c r="M6" s="112"/>
      <c r="N6" s="112"/>
      <c r="O6" s="112"/>
    </row>
    <row r="7" spans="1:15" x14ac:dyDescent="0.2">
      <c r="C7" t="s">
        <v>196</v>
      </c>
      <c r="D7" s="39">
        <v>1.2</v>
      </c>
      <c r="E7" s="2"/>
      <c r="F7" s="30" t="s">
        <v>116</v>
      </c>
      <c r="H7" s="48">
        <f>H6+H5</f>
        <v>7.5000000000000011E-2</v>
      </c>
      <c r="J7" s="112"/>
      <c r="K7" s="112"/>
      <c r="L7" s="112"/>
      <c r="M7" s="112"/>
      <c r="N7" s="112"/>
      <c r="O7" s="112"/>
    </row>
    <row r="8" spans="1:15" x14ac:dyDescent="0.2">
      <c r="C8" t="s">
        <v>89</v>
      </c>
      <c r="D8" s="32">
        <v>1200</v>
      </c>
      <c r="E8" s="1"/>
      <c r="G8" t="s">
        <v>197</v>
      </c>
      <c r="H8" s="46">
        <v>0.02</v>
      </c>
      <c r="J8" s="112"/>
      <c r="K8" s="112"/>
      <c r="L8" s="112"/>
      <c r="M8" s="112"/>
      <c r="N8" s="112"/>
      <c r="O8" s="112"/>
    </row>
    <row r="9" spans="1:15" x14ac:dyDescent="0.2">
      <c r="C9" s="42" t="s">
        <v>96</v>
      </c>
      <c r="D9" s="33">
        <v>0.65</v>
      </c>
      <c r="G9" t="s">
        <v>198</v>
      </c>
      <c r="H9" s="58">
        <v>3</v>
      </c>
      <c r="J9" s="112"/>
      <c r="K9" s="112"/>
      <c r="L9" s="112"/>
      <c r="M9" s="112"/>
      <c r="N9" s="112"/>
      <c r="O9" s="112"/>
    </row>
    <row r="10" spans="1:15" x14ac:dyDescent="0.2">
      <c r="A10" s="2"/>
      <c r="C10" s="42" t="s">
        <v>102</v>
      </c>
      <c r="D10" s="43">
        <v>4.2</v>
      </c>
      <c r="E10" s="1"/>
      <c r="G10" t="s">
        <v>191</v>
      </c>
      <c r="H10" s="46">
        <v>0.03</v>
      </c>
      <c r="J10" s="112"/>
      <c r="K10" s="112"/>
      <c r="L10" s="112"/>
      <c r="M10" s="112"/>
      <c r="N10" s="112"/>
      <c r="O10" s="112"/>
    </row>
    <row r="11" spans="1:15" x14ac:dyDescent="0.2">
      <c r="A11" s="1"/>
      <c r="C11" s="7" t="s">
        <v>90</v>
      </c>
      <c r="D11" s="34">
        <v>0.05</v>
      </c>
      <c r="E11" s="1"/>
      <c r="G11" t="s">
        <v>131</v>
      </c>
      <c r="H11" s="58">
        <v>4</v>
      </c>
      <c r="J11" s="112"/>
      <c r="K11" s="112"/>
      <c r="L11" s="112"/>
      <c r="M11" s="112"/>
      <c r="N11" s="112"/>
      <c r="O11" s="112"/>
    </row>
    <row r="12" spans="1:15" x14ac:dyDescent="0.2">
      <c r="A12" s="1"/>
      <c r="C12" s="7" t="s">
        <v>91</v>
      </c>
      <c r="D12" s="32">
        <v>5</v>
      </c>
      <c r="E12" s="1"/>
      <c r="G12" t="s">
        <v>193</v>
      </c>
      <c r="H12" s="58">
        <v>6000</v>
      </c>
      <c r="J12" s="112"/>
      <c r="K12" s="112"/>
      <c r="L12" s="112"/>
      <c r="M12" s="112"/>
      <c r="N12" s="112"/>
      <c r="O12" s="112"/>
    </row>
    <row r="13" spans="1:15" x14ac:dyDescent="0.2">
      <c r="A13" s="1"/>
      <c r="B13" s="1"/>
      <c r="C13" s="7" t="s">
        <v>98</v>
      </c>
      <c r="D13" s="34">
        <v>0.02</v>
      </c>
      <c r="E13" s="1"/>
      <c r="F13" s="30" t="s">
        <v>132</v>
      </c>
      <c r="H13" s="40">
        <f>D21*(1-H4)</f>
        <v>69052500</v>
      </c>
      <c r="J13" s="112"/>
      <c r="K13" s="112"/>
      <c r="L13" s="112"/>
      <c r="M13" s="112"/>
      <c r="N13" s="112"/>
      <c r="O13" s="112"/>
    </row>
    <row r="14" spans="1:15" x14ac:dyDescent="0.2">
      <c r="A14" s="1"/>
      <c r="B14" s="1"/>
      <c r="C14" s="7" t="s">
        <v>99</v>
      </c>
      <c r="D14" s="35">
        <v>45000</v>
      </c>
      <c r="E14" s="1"/>
      <c r="H14" s="40"/>
      <c r="J14" s="112"/>
      <c r="K14" s="112"/>
      <c r="L14" s="112"/>
      <c r="M14" s="112"/>
      <c r="N14" s="112"/>
      <c r="O14" s="112"/>
    </row>
    <row r="15" spans="1:15" x14ac:dyDescent="0.2">
      <c r="A15" s="1"/>
      <c r="B15" s="1"/>
      <c r="C15" s="7" t="s">
        <v>95</v>
      </c>
      <c r="D15" s="32">
        <v>7.0000000000000007E-2</v>
      </c>
      <c r="E15" s="1"/>
      <c r="F15" s="45" t="s">
        <v>107</v>
      </c>
      <c r="G15" s="45"/>
      <c r="H15" s="45"/>
      <c r="J15" s="112"/>
      <c r="K15" s="112"/>
      <c r="L15" s="112"/>
      <c r="M15" s="112"/>
      <c r="N15" s="112"/>
      <c r="O15" s="112"/>
    </row>
    <row r="16" spans="1:15" x14ac:dyDescent="0.2">
      <c r="A16" s="1"/>
      <c r="C16" t="s">
        <v>115</v>
      </c>
      <c r="D16" s="35">
        <v>3</v>
      </c>
      <c r="E16" s="1"/>
      <c r="F16" s="4"/>
      <c r="G16" t="s">
        <v>108</v>
      </c>
      <c r="H16" s="46">
        <v>1.0943126962993452</v>
      </c>
      <c r="J16" s="112"/>
      <c r="K16" s="112"/>
      <c r="L16" s="112"/>
      <c r="M16" s="112"/>
      <c r="N16" s="112"/>
      <c r="O16" s="112"/>
    </row>
    <row r="17" spans="1:15" x14ac:dyDescent="0.2">
      <c r="A17" s="1"/>
      <c r="C17" t="s">
        <v>118</v>
      </c>
      <c r="D17" s="34">
        <v>0.02</v>
      </c>
      <c r="E17" s="1"/>
      <c r="F17" s="9" t="s">
        <v>109</v>
      </c>
      <c r="G17" s="1"/>
      <c r="H17" s="9">
        <f>H16*D27</f>
        <v>43759876.35685081</v>
      </c>
      <c r="J17" s="112"/>
      <c r="K17" s="112"/>
      <c r="L17" s="112"/>
      <c r="M17" s="112"/>
      <c r="N17" s="112"/>
      <c r="O17" s="112"/>
    </row>
    <row r="18" spans="1:15" x14ac:dyDescent="0.2">
      <c r="A18" s="1"/>
      <c r="B18" s="30" t="s">
        <v>201</v>
      </c>
      <c r="D18" s="9">
        <f>D4*D5</f>
        <v>37500</v>
      </c>
      <c r="E18" s="1"/>
      <c r="G18" s="1"/>
      <c r="H18" s="1"/>
      <c r="J18" s="112"/>
      <c r="K18" s="112"/>
      <c r="L18" s="112"/>
      <c r="M18" s="112"/>
      <c r="N18" s="112"/>
      <c r="O18" s="112"/>
    </row>
    <row r="19" spans="1:15" x14ac:dyDescent="0.2">
      <c r="A19" s="1"/>
      <c r="B19" s="10" t="s">
        <v>97</v>
      </c>
      <c r="C19" s="9"/>
      <c r="D19" s="9">
        <f>D8*D5*D4*D9*24*365/1000</f>
        <v>256230000</v>
      </c>
      <c r="E19" s="1"/>
      <c r="F19" s="45" t="s">
        <v>112</v>
      </c>
      <c r="G19" s="45"/>
      <c r="H19" s="45"/>
      <c r="J19" s="112"/>
      <c r="K19" s="112"/>
      <c r="L19" s="112"/>
      <c r="M19" s="112"/>
      <c r="N19" s="112"/>
      <c r="O19" s="112"/>
    </row>
    <row r="20" spans="1:15" x14ac:dyDescent="0.2">
      <c r="A20" s="1"/>
      <c r="B20" s="30" t="s">
        <v>105</v>
      </c>
      <c r="D20" s="1">
        <f>D19*D15</f>
        <v>17936100</v>
      </c>
      <c r="E20" s="1"/>
      <c r="F20" s="4"/>
      <c r="G20" t="s">
        <v>113</v>
      </c>
      <c r="H20" s="46">
        <v>0.2</v>
      </c>
      <c r="J20" s="112"/>
      <c r="K20" s="112"/>
      <c r="L20" s="112"/>
      <c r="M20" s="112"/>
      <c r="N20" s="112"/>
      <c r="O20" s="112"/>
    </row>
    <row r="21" spans="1:15" x14ac:dyDescent="0.2">
      <c r="A21" s="1"/>
      <c r="B21" s="10" t="s">
        <v>9</v>
      </c>
      <c r="D21" s="11">
        <f>D4*D5*D23+(D5*D14)</f>
        <v>76725000</v>
      </c>
      <c r="E21" s="1"/>
      <c r="F21" s="1"/>
      <c r="G21" s="1"/>
      <c r="H21" s="1"/>
      <c r="J21" s="112"/>
      <c r="K21" s="112"/>
      <c r="L21" s="112"/>
      <c r="M21" s="112"/>
      <c r="N21" s="112"/>
      <c r="O21" s="112"/>
    </row>
    <row r="22" spans="1:15" x14ac:dyDescent="0.2">
      <c r="A22" s="1"/>
      <c r="B22" s="10" t="s">
        <v>207</v>
      </c>
      <c r="D22" s="40">
        <f>(D6*D7-D6)*D4*D5</f>
        <v>11850000</v>
      </c>
      <c r="E22" s="1"/>
      <c r="F22" s="45" t="s">
        <v>208</v>
      </c>
      <c r="G22" s="45"/>
      <c r="H22" s="45"/>
      <c r="J22" s="112"/>
      <c r="K22" s="112"/>
      <c r="L22" s="112"/>
      <c r="M22" s="112"/>
      <c r="N22" s="112"/>
      <c r="O22" s="112"/>
    </row>
    <row r="23" spans="1:15" x14ac:dyDescent="0.2">
      <c r="A23" s="1"/>
      <c r="B23" s="30" t="s">
        <v>94</v>
      </c>
      <c r="D23" s="41">
        <f>D6*D7</f>
        <v>1896</v>
      </c>
      <c r="E23" s="1"/>
      <c r="F23" s="1"/>
      <c r="G23" s="1" t="s">
        <v>203</v>
      </c>
      <c r="H23" s="58">
        <v>155</v>
      </c>
      <c r="J23" s="112"/>
      <c r="K23" s="112"/>
      <c r="L23" s="112"/>
      <c r="M23" s="112"/>
      <c r="N23" s="112"/>
      <c r="O23" s="112"/>
    </row>
    <row r="24" spans="1:15" x14ac:dyDescent="0.2">
      <c r="A24" s="1"/>
      <c r="B24" s="30" t="s">
        <v>100</v>
      </c>
      <c r="D24" s="41">
        <f>D4*D5*D12*12</f>
        <v>2250000</v>
      </c>
      <c r="E24" s="1"/>
      <c r="F24" s="9" t="s">
        <v>202</v>
      </c>
      <c r="G24" s="1"/>
      <c r="H24" s="9">
        <f>H23*D18*12*D9</f>
        <v>45337500</v>
      </c>
      <c r="J24" s="112"/>
      <c r="K24" s="112"/>
      <c r="L24" s="112"/>
      <c r="M24" s="112"/>
      <c r="N24" s="112"/>
      <c r="O24" s="112"/>
    </row>
    <row r="25" spans="1:15" x14ac:dyDescent="0.2">
      <c r="A25" s="1"/>
      <c r="B25" s="30" t="s">
        <v>101</v>
      </c>
      <c r="D25" s="41">
        <f>D13*D21</f>
        <v>1534500</v>
      </c>
      <c r="E25" s="1"/>
      <c r="F25" s="1"/>
      <c r="G25" s="1"/>
      <c r="H25" s="1"/>
      <c r="J25" s="112"/>
      <c r="K25" s="112"/>
      <c r="L25" s="112"/>
      <c r="M25" s="112"/>
      <c r="N25" s="112"/>
      <c r="O25" s="112"/>
    </row>
    <row r="26" spans="1:15" x14ac:dyDescent="0.2">
      <c r="A26" s="1"/>
      <c r="B26" s="30" t="s">
        <v>103</v>
      </c>
      <c r="D26" s="9">
        <f>D21/D10</f>
        <v>18267857.142857142</v>
      </c>
      <c r="E26" s="1"/>
      <c r="F26" s="1"/>
      <c r="G26" s="1"/>
      <c r="H26" s="100"/>
      <c r="J26" s="112"/>
      <c r="K26" s="112"/>
      <c r="L26" s="112"/>
      <c r="M26" s="112"/>
      <c r="N26" s="112"/>
      <c r="O26" s="112"/>
    </row>
    <row r="27" spans="1:15" x14ac:dyDescent="0.2">
      <c r="A27" s="1"/>
      <c r="B27" s="30" t="s">
        <v>104</v>
      </c>
      <c r="C27" s="31"/>
      <c r="D27" s="11">
        <f>D20+D24+D25+D26</f>
        <v>39988457.142857142</v>
      </c>
      <c r="E27" s="1"/>
      <c r="F27" s="1"/>
      <c r="G27" s="40"/>
      <c r="H27" s="100"/>
      <c r="J27" s="112"/>
      <c r="K27" s="112"/>
      <c r="L27" s="112"/>
      <c r="M27" s="112"/>
      <c r="N27" s="112"/>
      <c r="O27" s="112"/>
    </row>
    <row r="28" spans="1:15" x14ac:dyDescent="0.2">
      <c r="A28" s="1"/>
      <c r="B28" s="30" t="s">
        <v>211</v>
      </c>
      <c r="D28" s="9">
        <f>+H24*D11</f>
        <v>2266875</v>
      </c>
      <c r="E28" s="1"/>
      <c r="F28" s="1"/>
      <c r="G28" s="1"/>
      <c r="H28" s="1"/>
      <c r="J28" s="112"/>
      <c r="K28" s="112"/>
      <c r="L28" s="112"/>
      <c r="M28" s="112"/>
      <c r="N28" s="112"/>
      <c r="O28" s="112"/>
    </row>
    <row r="29" spans="1:15" x14ac:dyDescent="0.2">
      <c r="A29" s="1"/>
      <c r="E29" s="1"/>
      <c r="F29" s="1"/>
      <c r="G29" s="72"/>
      <c r="H29" s="1"/>
      <c r="J29" s="112"/>
      <c r="K29" s="112"/>
      <c r="L29" s="112"/>
      <c r="M29" s="112"/>
      <c r="N29" s="112"/>
      <c r="O29" s="112"/>
    </row>
    <row r="30" spans="1:15" x14ac:dyDescent="0.2">
      <c r="A30" s="1"/>
      <c r="D30" s="40"/>
      <c r="E30" s="1"/>
      <c r="F30" s="1"/>
      <c r="G30" s="1"/>
      <c r="H30" s="1"/>
      <c r="J30" s="112"/>
      <c r="K30" s="112"/>
      <c r="L30" s="112"/>
      <c r="M30" s="112"/>
      <c r="N30" s="112"/>
      <c r="O30" s="112"/>
    </row>
    <row r="31" spans="1:15" x14ac:dyDescent="0.2">
      <c r="A31" s="1"/>
      <c r="E31" s="1"/>
      <c r="F31" s="1"/>
      <c r="G31" s="1"/>
      <c r="H31" s="1"/>
      <c r="J31" s="112"/>
      <c r="K31" s="112"/>
      <c r="L31" s="112"/>
      <c r="M31" s="112"/>
      <c r="N31" s="112"/>
      <c r="O31" s="112"/>
    </row>
    <row r="32" spans="1:15" x14ac:dyDescent="0.2">
      <c r="E32" s="4"/>
      <c r="F32" s="4"/>
      <c r="G32" s="4"/>
      <c r="H32" s="4"/>
      <c r="J32" s="112"/>
      <c r="K32" s="112"/>
      <c r="L32" s="112"/>
      <c r="M32" s="112"/>
      <c r="N32" s="112"/>
      <c r="O32" s="112"/>
    </row>
    <row r="33" spans="1:28" x14ac:dyDescent="0.2">
      <c r="J33" s="112"/>
      <c r="K33" s="112"/>
      <c r="L33" s="112"/>
      <c r="M33" s="112"/>
      <c r="N33" s="112"/>
      <c r="O33" s="112"/>
    </row>
    <row r="34" spans="1:28" x14ac:dyDescent="0.2">
      <c r="J34" s="112"/>
      <c r="K34" s="112"/>
      <c r="L34" s="112"/>
      <c r="M34" s="112"/>
      <c r="N34" s="112"/>
      <c r="O34" s="112"/>
    </row>
    <row r="35" spans="1:28" s="3" customFormat="1" x14ac:dyDescent="0.2">
      <c r="A35" s="36"/>
      <c r="B35" s="36" t="s">
        <v>165</v>
      </c>
      <c r="C35" s="29"/>
      <c r="D35" s="29"/>
      <c r="E35" s="29"/>
      <c r="F35" s="29"/>
      <c r="G35" s="29"/>
      <c r="H35" s="29"/>
      <c r="I35"/>
      <c r="J35" s="112"/>
      <c r="K35" s="112"/>
      <c r="L35" s="112"/>
      <c r="M35" s="112"/>
      <c r="N35" s="112"/>
      <c r="O35" s="112"/>
      <c r="P35"/>
      <c r="Q35"/>
      <c r="R35"/>
      <c r="S35"/>
      <c r="T35"/>
      <c r="U35"/>
      <c r="V35"/>
      <c r="W35"/>
      <c r="X35"/>
      <c r="Y35"/>
      <c r="Z35"/>
      <c r="AA35"/>
      <c r="AB35"/>
    </row>
    <row r="36" spans="1:28" x14ac:dyDescent="0.2">
      <c r="A36" s="65"/>
      <c r="B36" s="65"/>
      <c r="C36" s="64"/>
      <c r="D36" s="64"/>
      <c r="E36" s="64"/>
      <c r="F36" s="64"/>
      <c r="G36" s="64"/>
      <c r="H36" s="64"/>
      <c r="J36" s="112"/>
      <c r="K36" s="112"/>
      <c r="L36" s="112"/>
      <c r="M36" s="112"/>
      <c r="N36" s="112"/>
      <c r="O36" s="112"/>
    </row>
    <row r="37" spans="1:28" s="66" customFormat="1" x14ac:dyDescent="0.2">
      <c r="A37" s="78" t="s">
        <v>122</v>
      </c>
      <c r="B37" s="56" t="s">
        <v>5</v>
      </c>
      <c r="C37" s="6" t="s">
        <v>166</v>
      </c>
      <c r="D37" s="6" t="s">
        <v>167</v>
      </c>
      <c r="J37" s="112"/>
      <c r="K37" s="112"/>
      <c r="L37" s="112"/>
      <c r="M37" s="112"/>
      <c r="N37" s="112"/>
      <c r="O37" s="112"/>
      <c r="P37"/>
      <c r="Q37"/>
      <c r="R37"/>
      <c r="S37"/>
      <c r="T37"/>
      <c r="U37"/>
      <c r="V37"/>
      <c r="W37"/>
      <c r="X37"/>
      <c r="Y37"/>
      <c r="Z37"/>
      <c r="AA37"/>
      <c r="AB37"/>
    </row>
    <row r="38" spans="1:28" x14ac:dyDescent="0.2">
      <c r="A38" s="76">
        <v>1</v>
      </c>
      <c r="B38" s="70" t="str">
        <f>$B$37&amp;" Y"&amp;A38</f>
        <v>BEAR Y1</v>
      </c>
      <c r="C38" s="5">
        <f>H24</f>
        <v>45337500</v>
      </c>
      <c r="D38" s="68"/>
      <c r="J38" s="112"/>
      <c r="K38" s="112"/>
      <c r="L38" s="112"/>
      <c r="M38" s="112"/>
      <c r="N38" s="112"/>
      <c r="O38" s="112"/>
    </row>
    <row r="39" spans="1:28" x14ac:dyDescent="0.2">
      <c r="A39" s="77">
        <v>2</v>
      </c>
      <c r="B39" s="70" t="str">
        <f>$B$37&amp;" Y"&amp;A39</f>
        <v>BEAR Y2</v>
      </c>
      <c r="C39" s="5">
        <f>C38*(1+D39)</f>
        <v>44430750</v>
      </c>
      <c r="D39" s="34">
        <v>-0.02</v>
      </c>
      <c r="J39" s="112"/>
      <c r="K39" s="112"/>
      <c r="L39" s="112"/>
      <c r="M39" s="112"/>
      <c r="N39" s="112"/>
      <c r="O39" s="112"/>
    </row>
    <row r="40" spans="1:28" x14ac:dyDescent="0.2">
      <c r="A40" s="76">
        <v>3</v>
      </c>
      <c r="B40" s="70" t="str">
        <f>$B$37&amp;" Y"&amp;A40</f>
        <v>BEAR Y3</v>
      </c>
      <c r="C40" s="5">
        <f>C39*(1+D40)</f>
        <v>43319981.25</v>
      </c>
      <c r="D40" s="34">
        <v>-2.5000000000000001E-2</v>
      </c>
      <c r="J40" s="112"/>
      <c r="K40" s="112"/>
      <c r="L40" s="112"/>
      <c r="M40" s="112"/>
      <c r="N40" s="112"/>
      <c r="O40" s="112"/>
    </row>
    <row r="41" spans="1:28" x14ac:dyDescent="0.2">
      <c r="A41" s="76">
        <v>4</v>
      </c>
      <c r="B41" s="70" t="str">
        <f>$B$37&amp;" Y"&amp;A41</f>
        <v>BEAR Y4</v>
      </c>
      <c r="C41" s="5">
        <f>C40*(1+D41)</f>
        <v>42020381.8125</v>
      </c>
      <c r="D41" s="34">
        <v>-0.03</v>
      </c>
      <c r="J41" s="112"/>
      <c r="K41" s="112"/>
      <c r="L41" s="112"/>
      <c r="M41" s="112"/>
      <c r="N41" s="112"/>
      <c r="O41" s="112"/>
    </row>
    <row r="42" spans="1:28" x14ac:dyDescent="0.2">
      <c r="A42" s="71"/>
      <c r="B42" s="71"/>
      <c r="C42" s="64"/>
      <c r="D42" s="64"/>
      <c r="E42" s="64"/>
      <c r="F42" s="64"/>
      <c r="G42" s="64"/>
      <c r="H42" s="64"/>
      <c r="J42" s="112"/>
      <c r="K42" s="112"/>
      <c r="L42" s="112"/>
      <c r="M42" s="112"/>
      <c r="N42" s="112"/>
      <c r="O42" s="112"/>
    </row>
    <row r="43" spans="1:28" s="67" customFormat="1" x14ac:dyDescent="0.2">
      <c r="A43" s="78" t="s">
        <v>122</v>
      </c>
      <c r="B43" s="56" t="s">
        <v>177</v>
      </c>
      <c r="C43" s="6" t="str">
        <f>C37</f>
        <v>Annual service revenue</v>
      </c>
      <c r="D43" s="6" t="str">
        <f>D37</f>
        <v>Change</v>
      </c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</row>
    <row r="44" spans="1:28" x14ac:dyDescent="0.2">
      <c r="A44" s="76">
        <v>1</v>
      </c>
      <c r="B44" s="70" t="str">
        <f>$B$43&amp;" Y"&amp;A44</f>
        <v>BAL Y1</v>
      </c>
      <c r="C44" s="5">
        <f>H24</f>
        <v>45337500</v>
      </c>
      <c r="J44" t="s">
        <v>195</v>
      </c>
    </row>
    <row r="45" spans="1:28" x14ac:dyDescent="0.2">
      <c r="A45" s="77">
        <v>2</v>
      </c>
      <c r="B45" s="70" t="str">
        <f>$B$43&amp;" Y"&amp;A45</f>
        <v>BAL Y2</v>
      </c>
      <c r="C45" s="5">
        <f>C44*(1+D45)</f>
        <v>46244250</v>
      </c>
      <c r="D45" s="34">
        <v>0.02</v>
      </c>
    </row>
    <row r="46" spans="1:28" x14ac:dyDescent="0.2">
      <c r="A46" s="76">
        <v>3</v>
      </c>
      <c r="B46" s="70" t="str">
        <f>$B$43&amp;" Y"&amp;A46</f>
        <v>BAL Y3</v>
      </c>
      <c r="C46" s="5">
        <f>C45*(1+D46)</f>
        <v>47169135</v>
      </c>
      <c r="D46" s="34">
        <v>0.02</v>
      </c>
    </row>
    <row r="47" spans="1:28" x14ac:dyDescent="0.2">
      <c r="A47" s="76">
        <v>4</v>
      </c>
      <c r="B47" s="70" t="str">
        <f>$B$43&amp;" Y"&amp;A47</f>
        <v>BAL Y4</v>
      </c>
      <c r="C47" s="5">
        <f>C46*(1+D47)</f>
        <v>48112517.700000003</v>
      </c>
      <c r="D47" s="34">
        <v>0.02</v>
      </c>
    </row>
    <row r="48" spans="1:28" x14ac:dyDescent="0.2">
      <c r="A48" s="71"/>
      <c r="B48" s="71"/>
      <c r="C48" s="64"/>
      <c r="D48" s="64"/>
      <c r="E48" s="64"/>
      <c r="F48" s="64"/>
      <c r="G48" s="64"/>
      <c r="H48" s="64"/>
    </row>
    <row r="49" spans="1:28" s="67" customFormat="1" x14ac:dyDescent="0.2">
      <c r="A49" s="78" t="s">
        <v>122</v>
      </c>
      <c r="B49" s="56" t="s">
        <v>6</v>
      </c>
      <c r="C49" s="6" t="str">
        <f>C43</f>
        <v>Annual service revenue</v>
      </c>
      <c r="D49" s="6" t="str">
        <f>D43</f>
        <v>Change</v>
      </c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</row>
    <row r="50" spans="1:28" x14ac:dyDescent="0.2">
      <c r="A50" s="76">
        <v>1</v>
      </c>
      <c r="B50" s="70" t="str">
        <f>$B$49&amp;" Y"&amp;A50</f>
        <v>BULL Y1</v>
      </c>
      <c r="C50" s="5">
        <f>H24</f>
        <v>45337500</v>
      </c>
    </row>
    <row r="51" spans="1:28" x14ac:dyDescent="0.2">
      <c r="A51" s="77">
        <v>2</v>
      </c>
      <c r="B51" s="70" t="str">
        <f>$B$49&amp;" Y"&amp;A51</f>
        <v>BULL Y2</v>
      </c>
      <c r="C51" s="5">
        <f>C50*(1+D51)</f>
        <v>48964500</v>
      </c>
      <c r="D51" s="34">
        <v>0.08</v>
      </c>
    </row>
    <row r="52" spans="1:28" x14ac:dyDescent="0.2">
      <c r="A52" s="76">
        <v>3</v>
      </c>
      <c r="B52" s="70" t="str">
        <f>$B$49&amp;" Y"&amp;A52</f>
        <v>BULL Y3</v>
      </c>
      <c r="C52" s="5">
        <f>C51*(1+D52)</f>
        <v>53860950.000000007</v>
      </c>
      <c r="D52" s="34">
        <v>0.1</v>
      </c>
    </row>
    <row r="53" spans="1:28" x14ac:dyDescent="0.2">
      <c r="A53" s="76">
        <v>4</v>
      </c>
      <c r="B53" s="70" t="str">
        <f>$B$49&amp;" Y"&amp;A53</f>
        <v>BULL Y4</v>
      </c>
      <c r="C53" s="5">
        <f>C52*(1+D53)</f>
        <v>59247045.000000015</v>
      </c>
      <c r="D53" s="34">
        <v>0.1</v>
      </c>
    </row>
    <row r="55" spans="1:28" x14ac:dyDescent="0.2">
      <c r="C55" s="69"/>
      <c r="D55" s="69"/>
    </row>
    <row r="56" spans="1:28" x14ac:dyDescent="0.2">
      <c r="C56" s="69"/>
      <c r="D56" s="69"/>
    </row>
    <row r="57" spans="1:28" x14ac:dyDescent="0.2">
      <c r="C57" s="69"/>
      <c r="D57" s="69"/>
    </row>
    <row r="58" spans="1:28" x14ac:dyDescent="0.2">
      <c r="C58" s="69"/>
      <c r="D58" s="69"/>
    </row>
    <row r="59" spans="1:28" x14ac:dyDescent="0.2">
      <c r="D59" s="1"/>
    </row>
  </sheetData>
  <dataConsolidate/>
  <printOptions gridLines="1"/>
  <pageMargins left="0.70866141732283472" right="0.70866141732283472" top="0.74803149606299213" bottom="0.74803149606299213" header="0.31496062992125984" footer="0.31496062992125984"/>
  <pageSetup paperSize="9" scale="7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F4C64-4A69-40DA-8193-D9C2C9EDF30F}">
  <dimension ref="A1:U177"/>
  <sheetViews>
    <sheetView zoomScaleNormal="100" workbookViewId="0">
      <selection activeCell="K13" sqref="K13"/>
    </sheetView>
  </sheetViews>
  <sheetFormatPr baseColWidth="10" defaultColWidth="8.83203125" defaultRowHeight="15" x14ac:dyDescent="0.2"/>
  <cols>
    <col min="1" max="1" width="2.83203125" customWidth="1"/>
    <col min="2" max="2" width="4.33203125" style="6" customWidth="1"/>
    <col min="3" max="3" width="2.1640625" style="18" customWidth="1"/>
    <col min="4" max="5" width="3.6640625" style="18" customWidth="1"/>
    <col min="6" max="6" width="23.1640625" style="18" customWidth="1"/>
    <col min="7" max="7" width="15" style="17" bestFit="1" customWidth="1"/>
    <col min="8" max="8" width="14.1640625" style="17" customWidth="1"/>
    <col min="9" max="9" width="14.33203125" style="17" customWidth="1"/>
    <col min="10" max="11" width="14.1640625" style="17" bestFit="1" customWidth="1"/>
    <col min="12" max="12" width="15" style="17" bestFit="1" customWidth="1"/>
    <col min="13" max="13" width="16.5" style="17" customWidth="1"/>
    <col min="14" max="14" width="3.6640625" style="17" customWidth="1"/>
    <col min="15" max="15" width="7.33203125" style="100" bestFit="1" customWidth="1"/>
    <col min="16" max="16" width="20" style="115" bestFit="1" customWidth="1"/>
    <col min="17" max="17" width="8.83203125" style="17"/>
    <col min="18" max="18" width="11" style="17" bestFit="1" customWidth="1"/>
    <col min="19" max="19" width="12.5" style="17" bestFit="1" customWidth="1"/>
    <col min="20" max="20" width="8.83203125" style="17"/>
    <col min="21" max="21" width="11.5" style="16" bestFit="1" customWidth="1"/>
    <col min="22" max="16384" width="8.83203125" style="16"/>
  </cols>
  <sheetData>
    <row r="1" spans="1:20" s="15" customFormat="1" ht="19" x14ac:dyDescent="0.25">
      <c r="A1" s="37" t="s">
        <v>210</v>
      </c>
      <c r="B1" s="74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13"/>
      <c r="O1" s="135"/>
      <c r="P1" s="125"/>
      <c r="Q1" s="13"/>
      <c r="R1" s="13"/>
      <c r="S1" s="13"/>
      <c r="T1" s="13"/>
    </row>
    <row r="2" spans="1:20" x14ac:dyDescent="0.2">
      <c r="B2" s="107" t="s">
        <v>174</v>
      </c>
      <c r="C2" s="20"/>
      <c r="D2" s="20"/>
      <c r="E2" s="20"/>
      <c r="F2" s="108" t="s">
        <v>122</v>
      </c>
      <c r="G2" s="109" t="s">
        <v>24</v>
      </c>
      <c r="H2" s="110">
        <v>1</v>
      </c>
      <c r="I2" s="110">
        <v>2</v>
      </c>
      <c r="J2" s="110">
        <v>3</v>
      </c>
      <c r="K2" s="110">
        <v>4</v>
      </c>
      <c r="L2" s="110">
        <v>5</v>
      </c>
      <c r="M2" s="111" t="s">
        <v>171</v>
      </c>
    </row>
    <row r="3" spans="1:20" x14ac:dyDescent="0.2">
      <c r="C3" s="50" t="s">
        <v>119</v>
      </c>
      <c r="D3" s="51"/>
      <c r="E3" s="51"/>
      <c r="F3" s="51"/>
      <c r="G3" s="84"/>
      <c r="H3" s="51"/>
      <c r="I3" s="51"/>
      <c r="J3" s="51"/>
      <c r="K3" s="51"/>
      <c r="L3" s="51"/>
      <c r="M3" s="51"/>
      <c r="O3" s="136" t="s">
        <v>206</v>
      </c>
      <c r="P3" s="126" t="s">
        <v>194</v>
      </c>
    </row>
    <row r="4" spans="1:20" ht="5" customHeight="1" x14ac:dyDescent="0.2">
      <c r="G4" s="81"/>
    </row>
    <row r="5" spans="1:20" x14ac:dyDescent="0.2">
      <c r="G5" s="80" t="s">
        <v>30</v>
      </c>
      <c r="H5" s="53" t="str">
        <f t="shared" ref="H5" si="0">G5</f>
        <v>USD</v>
      </c>
      <c r="I5" s="53" t="str">
        <f>H5</f>
        <v>USD</v>
      </c>
      <c r="J5" s="53" t="str">
        <f>I5</f>
        <v>USD</v>
      </c>
      <c r="K5" s="53" t="str">
        <f>J5</f>
        <v>USD</v>
      </c>
      <c r="L5" s="53" t="str">
        <f>K5</f>
        <v>USD</v>
      </c>
      <c r="M5" s="53" t="str">
        <f>L5</f>
        <v>USD</v>
      </c>
    </row>
    <row r="6" spans="1:20" x14ac:dyDescent="0.2">
      <c r="C6" s="54" t="s">
        <v>117</v>
      </c>
      <c r="G6" s="81"/>
      <c r="H6" s="113">
        <f>Assumptions!H17</f>
        <v>43759876.35685081</v>
      </c>
      <c r="I6" s="113">
        <f t="shared" ref="I6:K7" si="1">H6*(1+infl)</f>
        <v>44635073.883987829</v>
      </c>
      <c r="J6" s="113">
        <f t="shared" si="1"/>
        <v>45527775.361667588</v>
      </c>
      <c r="K6" s="113">
        <f t="shared" si="1"/>
        <v>46438330.86890094</v>
      </c>
      <c r="L6" s="115"/>
      <c r="M6" s="113">
        <f>G6+H6+I6+J6+K6+L6</f>
        <v>180361056.47140718</v>
      </c>
    </row>
    <row r="7" spans="1:20" x14ac:dyDescent="0.2">
      <c r="C7" s="18" t="s">
        <v>120</v>
      </c>
      <c r="G7" s="81"/>
      <c r="H7" s="113">
        <f>Assumptions!D20</f>
        <v>17936100</v>
      </c>
      <c r="I7" s="113">
        <f t="shared" si="1"/>
        <v>18294822</v>
      </c>
      <c r="J7" s="113">
        <f t="shared" si="1"/>
        <v>18660718.440000001</v>
      </c>
      <c r="K7" s="113">
        <f t="shared" si="1"/>
        <v>19033932.808800001</v>
      </c>
      <c r="L7" s="115"/>
      <c r="M7" s="113">
        <f>G7+H7+I7+J7+K7+L7</f>
        <v>73925573.248799995</v>
      </c>
    </row>
    <row r="8" spans="1:20" x14ac:dyDescent="0.2">
      <c r="D8" s="49" t="s">
        <v>121</v>
      </c>
      <c r="G8" s="81"/>
      <c r="H8" s="115">
        <f>H6-H7</f>
        <v>25823776.35685081</v>
      </c>
      <c r="I8" s="115">
        <f>I6-I7</f>
        <v>26340251.883987829</v>
      </c>
      <c r="J8" s="115">
        <f>J6-J7</f>
        <v>26867056.921667587</v>
      </c>
      <c r="K8" s="115">
        <f>K6-K7</f>
        <v>27404398.060100939</v>
      </c>
      <c r="L8" s="115"/>
      <c r="M8" s="115">
        <f>M6-M7</f>
        <v>106435483.22260718</v>
      </c>
    </row>
    <row r="9" spans="1:20" x14ac:dyDescent="0.2">
      <c r="D9" s="54" t="s">
        <v>8</v>
      </c>
      <c r="G9" s="81"/>
      <c r="H9" s="104">
        <f>H8/H6</f>
        <v>0.5901245274612843</v>
      </c>
      <c r="I9" s="104">
        <f>I8/I6</f>
        <v>0.5901245274612843</v>
      </c>
      <c r="J9" s="104">
        <f>J8/J6</f>
        <v>0.5901245274612843</v>
      </c>
      <c r="K9" s="104">
        <f>K8/K6</f>
        <v>0.5901245274612843</v>
      </c>
      <c r="L9" s="115"/>
      <c r="M9" s="104">
        <f>M8/M6</f>
        <v>0.5901245274612843</v>
      </c>
      <c r="O9" s="100">
        <f>M8/M6</f>
        <v>0.5901245274612843</v>
      </c>
    </row>
    <row r="10" spans="1:20" ht="5" customHeight="1" x14ac:dyDescent="0.2">
      <c r="G10" s="81"/>
      <c r="L10" s="115"/>
    </row>
    <row r="11" spans="1:20" x14ac:dyDescent="0.2">
      <c r="C11" s="18" t="s">
        <v>123</v>
      </c>
      <c r="G11" s="81"/>
      <c r="H11" s="113">
        <f>Assumptions!D24</f>
        <v>2250000</v>
      </c>
      <c r="I11" s="113">
        <f t="shared" ref="I11:K14" si="2">H11*(1+infl)</f>
        <v>2295000</v>
      </c>
      <c r="J11" s="113">
        <f t="shared" si="2"/>
        <v>2340900</v>
      </c>
      <c r="K11" s="113">
        <f t="shared" si="2"/>
        <v>2387718</v>
      </c>
      <c r="L11" s="115"/>
      <c r="M11" s="113">
        <f>G11+H11+I11+J11+K11+L11</f>
        <v>9273618</v>
      </c>
    </row>
    <row r="12" spans="1:20" x14ac:dyDescent="0.2">
      <c r="C12" s="18" t="s">
        <v>204</v>
      </c>
      <c r="G12" s="81"/>
      <c r="H12" s="113"/>
      <c r="I12" s="113"/>
      <c r="J12" s="113"/>
      <c r="K12" s="113"/>
      <c r="L12" s="116">
        <f>-K66</f>
        <v>-3653571.4285714328</v>
      </c>
      <c r="M12" s="113">
        <f>G12+H12+I12+J12+K12+L12</f>
        <v>-3653571.4285714328</v>
      </c>
    </row>
    <row r="13" spans="1:20" x14ac:dyDescent="0.2">
      <c r="C13" s="18" t="s">
        <v>90</v>
      </c>
      <c r="G13" s="81"/>
      <c r="H13" s="113">
        <f>+Assumptions!$D$28</f>
        <v>2266875</v>
      </c>
      <c r="I13" s="113">
        <f t="shared" ref="I13" si="3">H13*(1+infl)</f>
        <v>2312212.5</v>
      </c>
      <c r="J13" s="113">
        <f t="shared" ref="J13" si="4">I13*(1+infl)</f>
        <v>2358456.75</v>
      </c>
      <c r="K13" s="113">
        <f t="shared" ref="K13" si="5">J13*(1+infl)</f>
        <v>2405625.8850000002</v>
      </c>
      <c r="L13" s="116"/>
      <c r="M13" s="113"/>
    </row>
    <row r="14" spans="1:20" x14ac:dyDescent="0.2">
      <c r="C14" s="18" t="s">
        <v>124</v>
      </c>
      <c r="G14" s="81"/>
      <c r="H14" s="113">
        <f>Assumptions!D25</f>
        <v>1534500</v>
      </c>
      <c r="I14" s="113">
        <f t="shared" si="2"/>
        <v>1565190</v>
      </c>
      <c r="J14" s="113">
        <f t="shared" si="2"/>
        <v>1596493.8</v>
      </c>
      <c r="K14" s="113">
        <f t="shared" si="2"/>
        <v>1628423.676</v>
      </c>
      <c r="L14" s="115"/>
      <c r="M14" s="113">
        <f>G14+H14+I14+J14+K14+L14</f>
        <v>6324607.4759999998</v>
      </c>
    </row>
    <row r="15" spans="1:20" x14ac:dyDescent="0.2">
      <c r="A15" s="56"/>
      <c r="C15" s="49"/>
      <c r="D15" s="49" t="s">
        <v>140</v>
      </c>
      <c r="E15" s="49"/>
      <c r="F15" s="49"/>
      <c r="G15" s="82"/>
      <c r="H15" s="115">
        <f t="shared" ref="H15:M15" si="6">SUM(H11:H14)</f>
        <v>6051375</v>
      </c>
      <c r="I15" s="115">
        <f t="shared" si="6"/>
        <v>6172402.5</v>
      </c>
      <c r="J15" s="115">
        <f t="shared" si="6"/>
        <v>6295850.5499999998</v>
      </c>
      <c r="K15" s="115">
        <f t="shared" si="6"/>
        <v>6421767.5609999998</v>
      </c>
      <c r="L15" s="115">
        <f t="shared" si="6"/>
        <v>-3653571.4285714328</v>
      </c>
      <c r="M15" s="115">
        <f t="shared" si="6"/>
        <v>11944654.047428567</v>
      </c>
      <c r="N15" s="52"/>
      <c r="O15" s="104">
        <f>M15/M6</f>
        <v>6.622634775552097E-2</v>
      </c>
    </row>
    <row r="16" spans="1:20" ht="5" customHeight="1" x14ac:dyDescent="0.2">
      <c r="G16" s="81"/>
      <c r="L16" s="115"/>
      <c r="M16" s="113"/>
    </row>
    <row r="17" spans="1:21" x14ac:dyDescent="0.2">
      <c r="A17" s="56"/>
      <c r="C17" s="54" t="s">
        <v>125</v>
      </c>
      <c r="D17" s="57"/>
      <c r="E17" s="54"/>
      <c r="F17" s="54"/>
      <c r="G17" s="83"/>
      <c r="H17" s="116">
        <f>Assumptions!D26</f>
        <v>18267857.142857142</v>
      </c>
      <c r="I17" s="116">
        <f>H17</f>
        <v>18267857.142857142</v>
      </c>
      <c r="J17" s="116">
        <f>I17</f>
        <v>18267857.142857142</v>
      </c>
      <c r="K17" s="116">
        <f>J17</f>
        <v>18267857.142857142</v>
      </c>
      <c r="L17" s="115"/>
      <c r="M17" s="116">
        <f>G17+H17+I17+J17+K17+L17</f>
        <v>73071428.571428567</v>
      </c>
      <c r="N17" s="52"/>
      <c r="O17" s="104">
        <f>+M17/M6</f>
        <v>0.40513972362438816</v>
      </c>
    </row>
    <row r="18" spans="1:21" ht="5" customHeight="1" x14ac:dyDescent="0.2">
      <c r="G18" s="81"/>
      <c r="L18" s="115"/>
      <c r="M18" s="113"/>
    </row>
    <row r="19" spans="1:21" x14ac:dyDescent="0.2">
      <c r="A19" s="56"/>
      <c r="C19" s="49"/>
      <c r="D19" s="49" t="s">
        <v>126</v>
      </c>
      <c r="E19" s="49"/>
      <c r="F19" s="49"/>
      <c r="G19" s="82"/>
      <c r="H19" s="115">
        <f>H8-H15</f>
        <v>19772401.35685081</v>
      </c>
      <c r="I19" s="115">
        <f>I8-I15</f>
        <v>20167849.383987829</v>
      </c>
      <c r="J19" s="115">
        <f>J8-J15</f>
        <v>20571206.371667586</v>
      </c>
      <c r="K19" s="115">
        <f>K8-K15</f>
        <v>20982630.499100938</v>
      </c>
      <c r="L19" s="115">
        <f>L8-L15</f>
        <v>3653571.4285714328</v>
      </c>
      <c r="M19" s="115">
        <f>G19+H19+I19+J19+K19+L19</f>
        <v>85147659.040178597</v>
      </c>
      <c r="N19" s="52"/>
      <c r="O19" s="104">
        <f>M19/M6</f>
        <v>0.472095588183013</v>
      </c>
    </row>
    <row r="20" spans="1:21" x14ac:dyDescent="0.2">
      <c r="A20" s="56"/>
      <c r="C20" s="49"/>
      <c r="D20" s="49" t="s">
        <v>127</v>
      </c>
      <c r="E20" s="49"/>
      <c r="F20" s="49"/>
      <c r="G20" s="82"/>
      <c r="H20" s="115">
        <f>H8-H15-H17</f>
        <v>1504544.2139936686</v>
      </c>
      <c r="I20" s="115">
        <f>I8-I15-I17</f>
        <v>1899992.2411306873</v>
      </c>
      <c r="J20" s="115">
        <f>J8-J15-J17</f>
        <v>2303349.2288104445</v>
      </c>
      <c r="K20" s="115">
        <f>K8-K15-K17</f>
        <v>2714773.3562437966</v>
      </c>
      <c r="L20" s="115">
        <f>L8-L15-L17</f>
        <v>3653571.4285714328</v>
      </c>
      <c r="M20" s="115">
        <f>G20+H20+I20+J20+K20+L20</f>
        <v>12076230.46875003</v>
      </c>
      <c r="N20" s="52"/>
      <c r="O20" s="104">
        <f>M20/M6</f>
        <v>6.6955864558624872E-2</v>
      </c>
    </row>
    <row r="21" spans="1:21" ht="5" customHeight="1" x14ac:dyDescent="0.2">
      <c r="G21" s="81"/>
      <c r="L21" s="115"/>
      <c r="M21" s="113"/>
    </row>
    <row r="22" spans="1:21" x14ac:dyDescent="0.2">
      <c r="C22" s="18" t="s">
        <v>128</v>
      </c>
      <c r="G22" s="117">
        <f>G68*Assumptions!H5*(Assumptions!D16/12)</f>
        <v>863156.25</v>
      </c>
      <c r="H22" s="113">
        <f>AVERAGE(G68,H68)*Assumptions!$H$5</f>
        <v>3021046.875</v>
      </c>
      <c r="I22" s="113">
        <f>AVERAGE(H68,I68)*Assumptions!$H$5</f>
        <v>2157890.625</v>
      </c>
      <c r="J22" s="113">
        <f>AVERAGE(I68,J68)*Assumptions!$H$5</f>
        <v>1294734.375</v>
      </c>
      <c r="K22" s="113">
        <f>AVERAGE(J68,K68)*Assumptions!$H$5</f>
        <v>431578.125</v>
      </c>
      <c r="L22" s="115"/>
      <c r="M22" s="113">
        <f>G22+H22+I22+J22+K22+L22</f>
        <v>7768406.25</v>
      </c>
    </row>
    <row r="23" spans="1:21" x14ac:dyDescent="0.2">
      <c r="C23" s="18" t="s">
        <v>129</v>
      </c>
      <c r="G23" s="117">
        <f>G68*Assumptions!H6*(Assumptions!D16/12)</f>
        <v>431578.125</v>
      </c>
      <c r="H23" s="113">
        <f>AVERAGE(G68,H68)*Assumptions!$H$6</f>
        <v>1510523.4375</v>
      </c>
      <c r="I23" s="113">
        <f>AVERAGE(H68,I68)*Assumptions!$H$6</f>
        <v>1078945.3125</v>
      </c>
      <c r="J23" s="113">
        <f>AVERAGE(I68,J68)*Assumptions!$H$6</f>
        <v>647367.1875</v>
      </c>
      <c r="K23" s="113">
        <f>AVERAGE(J68,K68)*Assumptions!$H$6</f>
        <v>215789.0625</v>
      </c>
      <c r="L23" s="115"/>
      <c r="M23" s="113">
        <f>G23+H23+I23+J23+K23+L23</f>
        <v>3884203.125</v>
      </c>
    </row>
    <row r="24" spans="1:21" x14ac:dyDescent="0.2">
      <c r="C24" s="18" t="s">
        <v>199</v>
      </c>
      <c r="G24" s="117">
        <f>Assumptions!H8*Assumptions!D22*(Assumptions!H9/12)</f>
        <v>59250</v>
      </c>
      <c r="H24" s="113">
        <v>0</v>
      </c>
      <c r="I24" s="113">
        <v>0</v>
      </c>
      <c r="J24" s="113">
        <v>0</v>
      </c>
      <c r="K24" s="113">
        <v>0</v>
      </c>
      <c r="L24" s="115"/>
      <c r="M24" s="113">
        <f>G24+H24+I24+J24+K24+L24</f>
        <v>59250</v>
      </c>
    </row>
    <row r="25" spans="1:21" x14ac:dyDescent="0.2">
      <c r="A25" s="61"/>
      <c r="C25" s="60" t="s">
        <v>145</v>
      </c>
      <c r="D25" s="60"/>
      <c r="E25" s="60"/>
      <c r="F25" s="60"/>
      <c r="G25" s="118">
        <f>Assumptions!$H$12*(Assumptions!D16/12)</f>
        <v>1500</v>
      </c>
      <c r="H25" s="119">
        <f>Assumptions!$H$12</f>
        <v>6000</v>
      </c>
      <c r="I25" s="119">
        <f>H25</f>
        <v>6000</v>
      </c>
      <c r="J25" s="119">
        <f>I25</f>
        <v>6000</v>
      </c>
      <c r="K25" s="119">
        <f>J25</f>
        <v>6000</v>
      </c>
      <c r="L25" s="115"/>
      <c r="M25" s="113">
        <f>G25+H25+I25+J25+K25+L25</f>
        <v>25500</v>
      </c>
      <c r="N25" s="59"/>
      <c r="O25" s="104"/>
    </row>
    <row r="26" spans="1:21" x14ac:dyDescent="0.2">
      <c r="C26" s="49"/>
      <c r="D26" s="49" t="s">
        <v>130</v>
      </c>
      <c r="E26" s="49"/>
      <c r="F26" s="49"/>
      <c r="G26" s="114">
        <f>SUM(G22:G25)</f>
        <v>1355484.375</v>
      </c>
      <c r="H26" s="115">
        <f>SUM(H22:H25)</f>
        <v>4537570.3125</v>
      </c>
      <c r="I26" s="115">
        <f>SUM(I22:I25)</f>
        <v>3242835.9375</v>
      </c>
      <c r="J26" s="115">
        <f>SUM(J22:J25)</f>
        <v>1948101.5625</v>
      </c>
      <c r="K26" s="115">
        <f>SUM(K22:K25)</f>
        <v>653367.1875</v>
      </c>
      <c r="L26" s="115"/>
      <c r="M26" s="115">
        <f>SUM(M22:M25)</f>
        <v>11737359.375</v>
      </c>
      <c r="O26" s="100">
        <f>M26/M6</f>
        <v>6.507701609554907E-2</v>
      </c>
      <c r="P26" s="137"/>
      <c r="Q26" s="137"/>
      <c r="R26" s="137"/>
      <c r="S26" s="137"/>
      <c r="T26" s="137"/>
      <c r="U26" s="100"/>
    </row>
    <row r="27" spans="1:21" ht="5" customHeight="1" x14ac:dyDescent="0.2">
      <c r="G27" s="81"/>
      <c r="L27" s="115"/>
      <c r="M27" s="113"/>
    </row>
    <row r="28" spans="1:21" x14ac:dyDescent="0.2">
      <c r="A28" s="56"/>
      <c r="C28" s="49"/>
      <c r="D28" s="49" t="s">
        <v>143</v>
      </c>
      <c r="E28" s="49"/>
      <c r="F28" s="49"/>
      <c r="G28" s="114">
        <f t="shared" ref="G28:L28" si="7">G20-G26</f>
        <v>-1355484.375</v>
      </c>
      <c r="H28" s="115">
        <f t="shared" si="7"/>
        <v>-3033026.0985063314</v>
      </c>
      <c r="I28" s="115">
        <f t="shared" si="7"/>
        <v>-1342843.6963693127</v>
      </c>
      <c r="J28" s="115">
        <f t="shared" si="7"/>
        <v>355247.66631044447</v>
      </c>
      <c r="K28" s="115">
        <f t="shared" si="7"/>
        <v>2061406.1687437966</v>
      </c>
      <c r="L28" s="115">
        <f t="shared" si="7"/>
        <v>3653571.4285714328</v>
      </c>
      <c r="M28" s="115">
        <f>G28+H28+I28+J28+K28+L28</f>
        <v>338871.0937500298</v>
      </c>
      <c r="N28" s="52"/>
      <c r="O28" s="104">
        <f>M28/M6</f>
        <v>1.8788484630757937E-3</v>
      </c>
      <c r="P28" s="141"/>
      <c r="Q28" s="141"/>
      <c r="R28" s="141"/>
      <c r="S28" s="141"/>
    </row>
    <row r="29" spans="1:21" ht="5" customHeight="1" x14ac:dyDescent="0.2">
      <c r="G29" s="81"/>
      <c r="L29" s="115"/>
      <c r="M29" s="113"/>
    </row>
    <row r="30" spans="1:21" x14ac:dyDescent="0.2">
      <c r="B30" s="6" t="s">
        <v>175</v>
      </c>
      <c r="C30" s="18" t="s">
        <v>10</v>
      </c>
      <c r="G30" s="120"/>
      <c r="H30" s="113">
        <f>H28*Assumptions!$H$20</f>
        <v>-606605.21970126627</v>
      </c>
      <c r="I30" s="113">
        <f>I28*Assumptions!$H$20</f>
        <v>-268568.73927386256</v>
      </c>
      <c r="J30" s="113">
        <f>J28*Assumptions!$H$20</f>
        <v>71049.533262088895</v>
      </c>
      <c r="K30" s="113">
        <f>K28*Assumptions!$H$20</f>
        <v>412281.23374875938</v>
      </c>
      <c r="L30" s="113">
        <f>L28*Assumptions!$H$20</f>
        <v>730714.28571428661</v>
      </c>
      <c r="M30" s="116">
        <f>G30+H30+I30+J30+K30+L30</f>
        <v>338871.09375000605</v>
      </c>
      <c r="O30" s="100">
        <f>M30/M6</f>
        <v>1.878848463075662E-3</v>
      </c>
    </row>
    <row r="31" spans="1:21" ht="5" customHeight="1" x14ac:dyDescent="0.2">
      <c r="G31" s="81"/>
      <c r="L31" s="115"/>
      <c r="M31" s="113"/>
    </row>
    <row r="32" spans="1:21" x14ac:dyDescent="0.2">
      <c r="A32" s="56"/>
      <c r="C32" s="49"/>
      <c r="D32" s="49" t="s">
        <v>144</v>
      </c>
      <c r="E32" s="49"/>
      <c r="F32" s="49"/>
      <c r="G32" s="114">
        <f t="shared" ref="G32:L32" si="8">G28-G30</f>
        <v>-1355484.375</v>
      </c>
      <c r="H32" s="115">
        <f t="shared" si="8"/>
        <v>-2426420.8788050651</v>
      </c>
      <c r="I32" s="115">
        <f t="shared" si="8"/>
        <v>-1074274.9570954503</v>
      </c>
      <c r="J32" s="115">
        <f t="shared" si="8"/>
        <v>284198.13304835558</v>
      </c>
      <c r="K32" s="115">
        <f t="shared" si="8"/>
        <v>1649124.9349950373</v>
      </c>
      <c r="L32" s="115">
        <f t="shared" si="8"/>
        <v>2922857.1428571464</v>
      </c>
      <c r="M32" s="115">
        <f>G32+H32+I32+J32+K32+L32</f>
        <v>2.4214386940002441E-8</v>
      </c>
      <c r="N32" s="52"/>
      <c r="O32" s="104">
        <f>M32/M6</f>
        <v>1.3425507376001189E-16</v>
      </c>
    </row>
    <row r="33" spans="1:15" ht="5" customHeight="1" x14ac:dyDescent="0.2">
      <c r="G33" s="81"/>
    </row>
    <row r="34" spans="1:15" x14ac:dyDescent="0.2">
      <c r="C34" s="20"/>
      <c r="D34" s="20"/>
      <c r="E34" s="20"/>
      <c r="F34" s="108" t="s">
        <v>122</v>
      </c>
      <c r="G34" s="109" t="s">
        <v>24</v>
      </c>
      <c r="H34" s="110">
        <v>1</v>
      </c>
      <c r="I34" s="110">
        <v>2</v>
      </c>
      <c r="J34" s="110">
        <v>3</v>
      </c>
      <c r="K34" s="110">
        <v>4</v>
      </c>
      <c r="L34" s="110">
        <v>5</v>
      </c>
      <c r="M34" s="111" t="s">
        <v>171</v>
      </c>
    </row>
    <row r="35" spans="1:15" x14ac:dyDescent="0.2">
      <c r="C35" s="50" t="s">
        <v>133</v>
      </c>
      <c r="D35" s="51"/>
      <c r="E35" s="51"/>
      <c r="F35" s="51"/>
      <c r="G35" s="84"/>
      <c r="H35" s="51"/>
      <c r="I35" s="51"/>
      <c r="J35" s="51"/>
      <c r="K35" s="51"/>
      <c r="L35" s="51"/>
      <c r="M35" s="51"/>
    </row>
    <row r="36" spans="1:15" ht="5" customHeight="1" x14ac:dyDescent="0.2">
      <c r="G36" s="81"/>
    </row>
    <row r="37" spans="1:15" x14ac:dyDescent="0.2">
      <c r="A37" s="56"/>
      <c r="C37" s="57"/>
      <c r="D37" s="18" t="s">
        <v>144</v>
      </c>
      <c r="G37" s="117">
        <f t="shared" ref="G37:L37" si="9">G32</f>
        <v>-1355484.375</v>
      </c>
      <c r="H37" s="113">
        <f t="shared" si="9"/>
        <v>-2426420.8788050651</v>
      </c>
      <c r="I37" s="113">
        <f t="shared" si="9"/>
        <v>-1074274.9570954503</v>
      </c>
      <c r="J37" s="113">
        <f t="shared" si="9"/>
        <v>284198.13304835558</v>
      </c>
      <c r="K37" s="113">
        <f t="shared" si="9"/>
        <v>1649124.9349950373</v>
      </c>
      <c r="L37" s="113">
        <f t="shared" si="9"/>
        <v>2922857.1428571464</v>
      </c>
      <c r="M37" s="115">
        <f>G37+H37+I37+J37+K37+L37</f>
        <v>2.4214386940002441E-8</v>
      </c>
      <c r="N37" s="52"/>
      <c r="O37" s="137"/>
    </row>
    <row r="38" spans="1:15" x14ac:dyDescent="0.2">
      <c r="D38" s="18" t="s">
        <v>158</v>
      </c>
      <c r="G38" s="117">
        <f>G17</f>
        <v>0</v>
      </c>
      <c r="H38" s="113">
        <f>H17</f>
        <v>18267857.142857142</v>
      </c>
      <c r="I38" s="113">
        <f>I17</f>
        <v>18267857.142857142</v>
      </c>
      <c r="J38" s="113">
        <f>J17</f>
        <v>18267857.142857142</v>
      </c>
      <c r="K38" s="113">
        <f>K17</f>
        <v>18267857.142857142</v>
      </c>
      <c r="L38" s="113"/>
      <c r="M38" s="116">
        <f>G38+H38+I38+J38+K38+L38</f>
        <v>73071428.571428567</v>
      </c>
    </row>
    <row r="39" spans="1:15" x14ac:dyDescent="0.2">
      <c r="A39" s="56"/>
      <c r="C39" s="49" t="s">
        <v>169</v>
      </c>
      <c r="D39" s="49"/>
      <c r="E39" s="49"/>
      <c r="F39" s="49"/>
      <c r="G39" s="114">
        <f t="shared" ref="G39:L39" si="10">SUM(G37:G38)</f>
        <v>-1355484.375</v>
      </c>
      <c r="H39" s="115">
        <f t="shared" si="10"/>
        <v>15841436.264052076</v>
      </c>
      <c r="I39" s="115">
        <f t="shared" si="10"/>
        <v>17193582.18576169</v>
      </c>
      <c r="J39" s="115">
        <f t="shared" si="10"/>
        <v>18552055.275905497</v>
      </c>
      <c r="K39" s="115">
        <f t="shared" si="10"/>
        <v>19916982.077852178</v>
      </c>
      <c r="L39" s="115">
        <f t="shared" si="10"/>
        <v>2922857.1428571464</v>
      </c>
      <c r="M39" s="115">
        <f>G39+H39+I39+J39+K39+L39</f>
        <v>73071428.571428597</v>
      </c>
      <c r="N39" s="52"/>
      <c r="O39" s="137"/>
    </row>
    <row r="40" spans="1:15" ht="5" customHeight="1" x14ac:dyDescent="0.2">
      <c r="G40" s="117"/>
      <c r="H40" s="113"/>
      <c r="I40" s="113"/>
      <c r="J40" s="113"/>
      <c r="K40" s="113"/>
      <c r="L40" s="113"/>
      <c r="M40" s="113"/>
    </row>
    <row r="41" spans="1:15" x14ac:dyDescent="0.2">
      <c r="C41" s="18" t="s">
        <v>138</v>
      </c>
      <c r="G41" s="117">
        <f>-Assumptions!D21</f>
        <v>-76725000</v>
      </c>
      <c r="H41" s="113"/>
      <c r="I41" s="113"/>
      <c r="J41" s="113"/>
      <c r="K41" s="113"/>
      <c r="L41" s="113"/>
      <c r="M41" s="116">
        <f>G41+H41+I41+J41+K41+L41</f>
        <v>-76725000</v>
      </c>
    </row>
    <row r="42" spans="1:15" x14ac:dyDescent="0.2">
      <c r="C42" s="18" t="s">
        <v>139</v>
      </c>
      <c r="G42" s="117"/>
      <c r="H42" s="113"/>
      <c r="I42" s="113"/>
      <c r="J42" s="113"/>
      <c r="K42" s="113"/>
      <c r="L42" s="113"/>
      <c r="M42" s="116">
        <f>G42+H42+I42+J42+K42+L42</f>
        <v>0</v>
      </c>
      <c r="N42" s="52"/>
      <c r="O42" s="137"/>
    </row>
    <row r="43" spans="1:15" x14ac:dyDescent="0.2">
      <c r="C43" s="18" t="s">
        <v>205</v>
      </c>
      <c r="G43" s="117"/>
      <c r="H43" s="113"/>
      <c r="I43" s="113"/>
      <c r="J43" s="113"/>
      <c r="K43" s="113"/>
      <c r="L43" s="113">
        <f>K66</f>
        <v>3653571.4285714328</v>
      </c>
      <c r="M43" s="116">
        <f>G43+H43+I43+J43+K43+L43</f>
        <v>3653571.4285714328</v>
      </c>
      <c r="N43" s="52"/>
      <c r="O43" s="137"/>
    </row>
    <row r="44" spans="1:15" x14ac:dyDescent="0.2">
      <c r="C44" s="49"/>
      <c r="D44" s="49" t="s">
        <v>137</v>
      </c>
      <c r="E44" s="49"/>
      <c r="F44" s="49"/>
      <c r="G44" s="114">
        <f>SUM(G41:G43)</f>
        <v>-76725000</v>
      </c>
      <c r="H44" s="114">
        <f t="shared" ref="H44:L44" si="11">SUM(H41:H43)</f>
        <v>0</v>
      </c>
      <c r="I44" s="114">
        <f t="shared" si="11"/>
        <v>0</v>
      </c>
      <c r="J44" s="114">
        <f t="shared" si="11"/>
        <v>0</v>
      </c>
      <c r="K44" s="114">
        <f t="shared" si="11"/>
        <v>0</v>
      </c>
      <c r="L44" s="114">
        <f t="shared" si="11"/>
        <v>3653571.4285714328</v>
      </c>
      <c r="M44" s="115">
        <f>G44+H44+I44+J44+K44+L44</f>
        <v>-73071428.571428567</v>
      </c>
    </row>
    <row r="45" spans="1:15" ht="5" customHeight="1" x14ac:dyDescent="0.2">
      <c r="G45" s="117"/>
      <c r="H45" s="113"/>
      <c r="I45" s="113"/>
      <c r="J45" s="113"/>
      <c r="K45" s="113"/>
      <c r="L45" s="113"/>
      <c r="M45" s="113"/>
    </row>
    <row r="46" spans="1:15" x14ac:dyDescent="0.2">
      <c r="A46" s="56"/>
      <c r="C46" s="16" t="s">
        <v>149</v>
      </c>
      <c r="D46" s="16"/>
      <c r="E46" s="16"/>
      <c r="F46" s="16"/>
      <c r="G46" s="121">
        <f>SUM(G72:G73)</f>
        <v>9982250</v>
      </c>
      <c r="H46" s="122"/>
      <c r="I46" s="122"/>
      <c r="J46" s="122"/>
      <c r="K46" s="122"/>
      <c r="L46" s="122"/>
      <c r="M46" s="116">
        <f t="shared" ref="M46:M51" si="12">G46+H46+I46+J46+K46+L46</f>
        <v>9982250</v>
      </c>
    </row>
    <row r="47" spans="1:15" x14ac:dyDescent="0.2">
      <c r="C47" s="18" t="s">
        <v>136</v>
      </c>
      <c r="G47" s="117">
        <f>Assumptions!$H$13</f>
        <v>69052500</v>
      </c>
      <c r="H47" s="113"/>
      <c r="I47" s="113"/>
      <c r="J47" s="113"/>
      <c r="K47" s="113"/>
      <c r="L47" s="113"/>
      <c r="M47" s="116">
        <f t="shared" si="12"/>
        <v>69052500</v>
      </c>
    </row>
    <row r="48" spans="1:15" x14ac:dyDescent="0.2">
      <c r="C48" s="18" t="s">
        <v>135</v>
      </c>
      <c r="G48" s="117"/>
      <c r="H48" s="113">
        <f>-Assumptions!$H$13/Assumptions!$H$11</f>
        <v>-17263125</v>
      </c>
      <c r="I48" s="113">
        <f>-Assumptions!$H$13/Assumptions!$H$11</f>
        <v>-17263125</v>
      </c>
      <c r="J48" s="113">
        <f>-Assumptions!$H$13/Assumptions!$H$11</f>
        <v>-17263125</v>
      </c>
      <c r="K48" s="113">
        <f>-Assumptions!$H$13/Assumptions!$H$11</f>
        <v>-17263125</v>
      </c>
      <c r="L48" s="113"/>
      <c r="M48" s="116">
        <f t="shared" si="12"/>
        <v>-69052500</v>
      </c>
    </row>
    <row r="49" spans="1:15" x14ac:dyDescent="0.2">
      <c r="B49" s="87" t="s">
        <v>175</v>
      </c>
      <c r="C49" s="18" t="s">
        <v>146</v>
      </c>
      <c r="G49" s="117"/>
      <c r="H49" s="120"/>
      <c r="I49" s="120"/>
      <c r="J49" s="120"/>
      <c r="K49" s="120"/>
      <c r="L49" s="120"/>
      <c r="M49" s="116">
        <f t="shared" si="12"/>
        <v>0</v>
      </c>
    </row>
    <row r="50" spans="1:15" x14ac:dyDescent="0.2">
      <c r="C50" s="57" t="s">
        <v>161</v>
      </c>
      <c r="D50" s="16"/>
      <c r="E50" s="16"/>
      <c r="F50" s="16"/>
      <c r="G50" s="121"/>
      <c r="H50" s="122"/>
      <c r="I50" s="122"/>
      <c r="J50" s="122"/>
      <c r="K50" s="122"/>
      <c r="L50" s="133">
        <f>-SUM(K72:K73)</f>
        <v>-9982250</v>
      </c>
      <c r="M50" s="115">
        <f t="shared" si="12"/>
        <v>-9982250</v>
      </c>
    </row>
    <row r="51" spans="1:15" x14ac:dyDescent="0.2">
      <c r="C51" s="49"/>
      <c r="D51" s="49" t="s">
        <v>134</v>
      </c>
      <c r="E51" s="49"/>
      <c r="F51" s="49"/>
      <c r="G51" s="114">
        <f t="shared" ref="G51:L51" si="13">SUM(G46:G50)</f>
        <v>79034750</v>
      </c>
      <c r="H51" s="115">
        <f t="shared" si="13"/>
        <v>-17263125</v>
      </c>
      <c r="I51" s="115">
        <f t="shared" si="13"/>
        <v>-17263125</v>
      </c>
      <c r="J51" s="115">
        <f t="shared" si="13"/>
        <v>-17263125</v>
      </c>
      <c r="K51" s="115">
        <f t="shared" si="13"/>
        <v>-17263125</v>
      </c>
      <c r="L51" s="115">
        <f t="shared" si="13"/>
        <v>-9982250</v>
      </c>
      <c r="M51" s="115">
        <f t="shared" si="12"/>
        <v>0</v>
      </c>
      <c r="N51" s="52"/>
      <c r="O51" s="137"/>
    </row>
    <row r="52" spans="1:15" ht="5" customHeight="1" x14ac:dyDescent="0.2">
      <c r="G52" s="117"/>
      <c r="H52" s="113"/>
      <c r="I52" s="113"/>
      <c r="J52" s="113"/>
      <c r="K52" s="113"/>
      <c r="L52" s="113"/>
      <c r="M52" s="113"/>
    </row>
    <row r="53" spans="1:15" x14ac:dyDescent="0.2">
      <c r="C53" s="16"/>
      <c r="D53" s="16" t="s">
        <v>159</v>
      </c>
      <c r="E53" s="16"/>
      <c r="F53" s="16"/>
      <c r="G53" s="121">
        <v>0</v>
      </c>
      <c r="H53" s="122">
        <f>G55</f>
        <v>954265.625</v>
      </c>
      <c r="I53" s="122">
        <f>H55</f>
        <v>-467423.11094792373</v>
      </c>
      <c r="J53" s="122">
        <f>I55</f>
        <v>-536965.9251862336</v>
      </c>
      <c r="K53" s="122">
        <f>J55</f>
        <v>751964.35071926378</v>
      </c>
      <c r="L53" s="122">
        <f>K55</f>
        <v>3405821.4285714421</v>
      </c>
      <c r="M53" s="115"/>
    </row>
    <row r="54" spans="1:15" x14ac:dyDescent="0.2">
      <c r="A54" s="16"/>
      <c r="B54" s="88"/>
      <c r="C54" s="57"/>
      <c r="D54" s="49" t="s">
        <v>157</v>
      </c>
      <c r="E54" s="49"/>
      <c r="F54" s="49"/>
      <c r="G54" s="114">
        <f>G39+G51+G44</f>
        <v>954265.625</v>
      </c>
      <c r="H54" s="115">
        <f t="shared" ref="H54:L54" si="14">H39+H51+H44</f>
        <v>-1421688.7359479237</v>
      </c>
      <c r="I54" s="115">
        <f t="shared" si="14"/>
        <v>-69542.81423830986</v>
      </c>
      <c r="J54" s="115">
        <f t="shared" si="14"/>
        <v>1288930.2759054974</v>
      </c>
      <c r="K54" s="115">
        <f t="shared" si="14"/>
        <v>2653857.0778521784</v>
      </c>
      <c r="L54" s="115">
        <f t="shared" si="14"/>
        <v>-3405821.4285714207</v>
      </c>
      <c r="M54" s="115">
        <f>G54+H54+I54+J54+K54+L54</f>
        <v>2.1420419216156006E-8</v>
      </c>
    </row>
    <row r="55" spans="1:15" x14ac:dyDescent="0.2">
      <c r="A55" s="56"/>
      <c r="D55" s="16" t="s">
        <v>160</v>
      </c>
      <c r="G55" s="117">
        <f t="shared" ref="G55:L55" si="15">SUM(G53:G54)</f>
        <v>954265.625</v>
      </c>
      <c r="H55" s="113">
        <f t="shared" si="15"/>
        <v>-467423.11094792373</v>
      </c>
      <c r="I55" s="113">
        <f t="shared" si="15"/>
        <v>-536965.9251862336</v>
      </c>
      <c r="J55" s="113">
        <f t="shared" si="15"/>
        <v>751964.35071926378</v>
      </c>
      <c r="K55" s="113">
        <f t="shared" si="15"/>
        <v>3405821.4285714421</v>
      </c>
      <c r="L55" s="113">
        <f t="shared" si="15"/>
        <v>2.1420419216156006E-8</v>
      </c>
      <c r="M55" s="115"/>
    </row>
    <row r="56" spans="1:15" ht="5" customHeight="1" x14ac:dyDescent="0.2">
      <c r="C56" s="16"/>
      <c r="D56" s="16"/>
      <c r="E56" s="16"/>
      <c r="F56" s="16"/>
      <c r="G56" s="85"/>
      <c r="H56" s="16"/>
      <c r="I56" s="16"/>
      <c r="J56" s="16"/>
      <c r="K56" s="16"/>
      <c r="L56" s="16"/>
      <c r="M56" s="16"/>
    </row>
    <row r="57" spans="1:15" x14ac:dyDescent="0.2">
      <c r="C57" s="20"/>
      <c r="D57" s="20"/>
      <c r="E57" s="20"/>
      <c r="F57" s="108" t="s">
        <v>122</v>
      </c>
      <c r="G57" s="109" t="s">
        <v>24</v>
      </c>
      <c r="H57" s="110">
        <v>1</v>
      </c>
      <c r="I57" s="110">
        <v>2</v>
      </c>
      <c r="J57" s="110">
        <v>3</v>
      </c>
      <c r="K57" s="110">
        <v>4</v>
      </c>
      <c r="L57" s="110">
        <v>5</v>
      </c>
      <c r="M57" s="111" t="s">
        <v>171</v>
      </c>
    </row>
    <row r="58" spans="1:15" x14ac:dyDescent="0.2">
      <c r="C58" s="50" t="s">
        <v>141</v>
      </c>
      <c r="D58" s="51"/>
      <c r="E58" s="51"/>
      <c r="F58" s="51"/>
      <c r="G58" s="84"/>
      <c r="H58" s="51"/>
      <c r="I58" s="51"/>
      <c r="J58" s="51"/>
      <c r="K58" s="51"/>
      <c r="L58" s="51"/>
      <c r="M58" s="51"/>
    </row>
    <row r="59" spans="1:15" ht="5" customHeight="1" x14ac:dyDescent="0.2">
      <c r="G59" s="81"/>
    </row>
    <row r="60" spans="1:15" x14ac:dyDescent="0.2">
      <c r="C60" s="18" t="s">
        <v>147</v>
      </c>
      <c r="G60" s="117">
        <f>G55-G61</f>
        <v>-1347484.375</v>
      </c>
      <c r="H60" s="113">
        <f>H55-H61</f>
        <v>-2769173.1109479237</v>
      </c>
      <c r="I60" s="113">
        <f>I55-I61</f>
        <v>-2838715.9251862336</v>
      </c>
      <c r="J60" s="113">
        <f>J55-J61</f>
        <v>-1549785.6492807362</v>
      </c>
      <c r="K60" s="113">
        <f>K55-K61</f>
        <v>1104071.4285714421</v>
      </c>
      <c r="L60" s="113">
        <f>L55</f>
        <v>2.1420419216156006E-8</v>
      </c>
      <c r="M60" s="113"/>
    </row>
    <row r="61" spans="1:15" x14ac:dyDescent="0.2">
      <c r="C61" s="18" t="s">
        <v>170</v>
      </c>
      <c r="G61" s="117">
        <f>Assumptions!$H$10*Assumptions!$D$21</f>
        <v>2301750</v>
      </c>
      <c r="H61" s="113">
        <f>Assumptions!$H$10*Assumptions!$D$21</f>
        <v>2301750</v>
      </c>
      <c r="I61" s="113">
        <f>Assumptions!$H$10*Assumptions!$D$21</f>
        <v>2301750</v>
      </c>
      <c r="J61" s="113">
        <f>Assumptions!$H$10*Assumptions!$D$21</f>
        <v>2301750</v>
      </c>
      <c r="K61" s="113">
        <f>Assumptions!$H$10*Assumptions!$D$21</f>
        <v>2301750</v>
      </c>
      <c r="L61" s="113"/>
      <c r="M61" s="113"/>
    </row>
    <row r="62" spans="1:15" x14ac:dyDescent="0.2">
      <c r="C62" s="49"/>
      <c r="D62" s="49" t="s">
        <v>148</v>
      </c>
      <c r="E62" s="49"/>
      <c r="F62" s="49"/>
      <c r="G62" s="114">
        <f t="shared" ref="G62:L62" si="16">SUM(G60:G61)</f>
        <v>954265.625</v>
      </c>
      <c r="H62" s="115">
        <f t="shared" si="16"/>
        <v>-467423.11094792373</v>
      </c>
      <c r="I62" s="115">
        <f t="shared" si="16"/>
        <v>-536965.9251862336</v>
      </c>
      <c r="J62" s="115">
        <f t="shared" si="16"/>
        <v>751964.35071926378</v>
      </c>
      <c r="K62" s="115">
        <f t="shared" si="16"/>
        <v>3405821.4285714421</v>
      </c>
      <c r="L62" s="115">
        <f t="shared" si="16"/>
        <v>2.1420419216156006E-8</v>
      </c>
      <c r="M62" s="115"/>
    </row>
    <row r="63" spans="1:15" ht="5" customHeight="1" x14ac:dyDescent="0.2">
      <c r="A63" s="56"/>
      <c r="D63" s="49"/>
      <c r="G63" s="117"/>
      <c r="H63" s="113"/>
      <c r="I63" s="113"/>
      <c r="J63" s="113"/>
      <c r="K63" s="113"/>
      <c r="L63" s="113"/>
      <c r="M63" s="113"/>
      <c r="N63" s="52"/>
      <c r="O63" s="137"/>
    </row>
    <row r="64" spans="1:15" x14ac:dyDescent="0.2">
      <c r="C64" s="18" t="s">
        <v>154</v>
      </c>
      <c r="D64" s="49"/>
      <c r="G64" s="117">
        <f>-G44</f>
        <v>76725000</v>
      </c>
      <c r="H64" s="113">
        <f>G64</f>
        <v>76725000</v>
      </c>
      <c r="I64" s="113">
        <f>H64</f>
        <v>76725000</v>
      </c>
      <c r="J64" s="113">
        <f>I64</f>
        <v>76725000</v>
      </c>
      <c r="K64" s="113">
        <f>J64</f>
        <v>76725000</v>
      </c>
      <c r="L64" s="113"/>
      <c r="M64" s="113"/>
    </row>
    <row r="65" spans="1:18" x14ac:dyDescent="0.2">
      <c r="C65" s="18" t="s">
        <v>156</v>
      </c>
      <c r="D65" s="49"/>
      <c r="G65" s="117"/>
      <c r="H65" s="113">
        <f>-Assumptions!$D$26</f>
        <v>-18267857.142857142</v>
      </c>
      <c r="I65" s="113">
        <f>H65-Assumptions!$D$26</f>
        <v>-36535714.285714284</v>
      </c>
      <c r="J65" s="113">
        <f>I65-Assumptions!$D$26</f>
        <v>-54803571.428571425</v>
      </c>
      <c r="K65" s="113">
        <f>J65-Assumptions!$D$26</f>
        <v>-73071428.571428567</v>
      </c>
      <c r="L65" s="113"/>
      <c r="M65" s="113"/>
    </row>
    <row r="66" spans="1:18" x14ac:dyDescent="0.2">
      <c r="C66" s="49"/>
      <c r="D66" s="49" t="s">
        <v>155</v>
      </c>
      <c r="E66" s="49"/>
      <c r="F66" s="49"/>
      <c r="G66" s="114">
        <f t="shared" ref="G66:L66" si="17">SUM(G64:G65)</f>
        <v>76725000</v>
      </c>
      <c r="H66" s="115">
        <f t="shared" si="17"/>
        <v>58457142.857142858</v>
      </c>
      <c r="I66" s="115">
        <f t="shared" si="17"/>
        <v>40189285.714285716</v>
      </c>
      <c r="J66" s="115">
        <f t="shared" si="17"/>
        <v>21921428.571428575</v>
      </c>
      <c r="K66" s="115">
        <f t="shared" si="17"/>
        <v>3653571.4285714328</v>
      </c>
      <c r="L66" s="115">
        <f t="shared" si="17"/>
        <v>0</v>
      </c>
      <c r="M66" s="115"/>
    </row>
    <row r="67" spans="1:18" ht="5" customHeight="1" x14ac:dyDescent="0.2">
      <c r="A67" s="56"/>
      <c r="G67" s="117"/>
      <c r="H67" s="113"/>
      <c r="I67" s="113"/>
      <c r="J67" s="113"/>
      <c r="K67" s="113"/>
      <c r="L67" s="113"/>
      <c r="M67" s="113"/>
      <c r="N67" s="52"/>
      <c r="O67" s="137"/>
    </row>
    <row r="68" spans="1:18" x14ac:dyDescent="0.2">
      <c r="C68" s="18" t="s">
        <v>142</v>
      </c>
      <c r="D68" s="16"/>
      <c r="G68" s="117">
        <f>G47</f>
        <v>69052500</v>
      </c>
      <c r="H68" s="113">
        <f>G68+H48</f>
        <v>51789375</v>
      </c>
      <c r="I68" s="113">
        <f>H68+I48</f>
        <v>34526250</v>
      </c>
      <c r="J68" s="113">
        <f>I68+J48</f>
        <v>17263125</v>
      </c>
      <c r="K68" s="113">
        <f>J68+K48</f>
        <v>0</v>
      </c>
      <c r="L68" s="113"/>
      <c r="M68" s="113"/>
    </row>
    <row r="69" spans="1:18" x14ac:dyDescent="0.2">
      <c r="C69" s="49"/>
      <c r="D69" s="49" t="s">
        <v>162</v>
      </c>
      <c r="E69" s="49"/>
      <c r="F69" s="49"/>
      <c r="G69" s="114">
        <f t="shared" ref="G69:L69" si="18">SUM(G68)</f>
        <v>69052500</v>
      </c>
      <c r="H69" s="115">
        <f t="shared" si="18"/>
        <v>51789375</v>
      </c>
      <c r="I69" s="115">
        <f t="shared" si="18"/>
        <v>34526250</v>
      </c>
      <c r="J69" s="115">
        <f t="shared" si="18"/>
        <v>17263125</v>
      </c>
      <c r="K69" s="115">
        <f t="shared" si="18"/>
        <v>0</v>
      </c>
      <c r="L69" s="115">
        <f t="shared" si="18"/>
        <v>0</v>
      </c>
      <c r="M69" s="115"/>
    </row>
    <row r="70" spans="1:18" ht="5" customHeight="1" x14ac:dyDescent="0.2">
      <c r="A70" s="56"/>
      <c r="G70" s="117"/>
      <c r="H70" s="113"/>
      <c r="I70" s="113"/>
      <c r="J70" s="113"/>
      <c r="K70" s="113"/>
      <c r="L70" s="113"/>
      <c r="M70" s="113"/>
      <c r="N70" s="52"/>
      <c r="O70" s="137"/>
    </row>
    <row r="71" spans="1:18" x14ac:dyDescent="0.2">
      <c r="C71" s="18" t="s">
        <v>153</v>
      </c>
      <c r="G71" s="117">
        <f>G32</f>
        <v>-1355484.375</v>
      </c>
      <c r="H71" s="113">
        <f>G71+H32+H49</f>
        <v>-3781905.2538050651</v>
      </c>
      <c r="I71" s="113">
        <f>H71+I32+I49</f>
        <v>-4856180.2109005153</v>
      </c>
      <c r="J71" s="113">
        <f>I71+J32+J49</f>
        <v>-4571982.0778521597</v>
      </c>
      <c r="K71" s="113">
        <f>J71+K32+K49</f>
        <v>-2922857.1428571222</v>
      </c>
      <c r="L71" s="113">
        <f>K71+L32+L49</f>
        <v>2.4214386940002441E-8</v>
      </c>
      <c r="M71" s="113"/>
      <c r="R71" s="105" t="s">
        <v>5</v>
      </c>
    </row>
    <row r="72" spans="1:18" x14ac:dyDescent="0.2">
      <c r="C72" s="18" t="s">
        <v>151</v>
      </c>
      <c r="G72" s="117">
        <f>Assumptions!$H$4*Assumptions!$D$21+Assumptions!$D$21*Assumptions!$H$10</f>
        <v>9974250</v>
      </c>
      <c r="H72" s="113">
        <f t="shared" ref="H72:K73" si="19">G72</f>
        <v>9974250</v>
      </c>
      <c r="I72" s="113">
        <f t="shared" si="19"/>
        <v>9974250</v>
      </c>
      <c r="J72" s="113">
        <f t="shared" si="19"/>
        <v>9974250</v>
      </c>
      <c r="K72" s="113">
        <f t="shared" si="19"/>
        <v>9974250</v>
      </c>
      <c r="L72" s="113"/>
      <c r="M72" s="113"/>
      <c r="R72" s="105" t="s">
        <v>177</v>
      </c>
    </row>
    <row r="73" spans="1:18" x14ac:dyDescent="0.2">
      <c r="A73" s="56"/>
      <c r="B73" s="6" t="s">
        <v>175</v>
      </c>
      <c r="C73" s="18" t="s">
        <v>150</v>
      </c>
      <c r="G73" s="120">
        <v>8000</v>
      </c>
      <c r="H73" s="113">
        <f t="shared" si="19"/>
        <v>8000</v>
      </c>
      <c r="I73" s="113">
        <f t="shared" si="19"/>
        <v>8000</v>
      </c>
      <c r="J73" s="113">
        <f t="shared" si="19"/>
        <v>8000</v>
      </c>
      <c r="K73" s="113">
        <f t="shared" si="19"/>
        <v>8000</v>
      </c>
      <c r="L73" s="113"/>
      <c r="M73" s="113"/>
      <c r="R73" s="105" t="s">
        <v>6</v>
      </c>
    </row>
    <row r="74" spans="1:18" x14ac:dyDescent="0.2">
      <c r="C74" s="49"/>
      <c r="D74" s="49" t="s">
        <v>152</v>
      </c>
      <c r="E74" s="49"/>
      <c r="F74" s="49"/>
      <c r="G74" s="114">
        <f t="shared" ref="G74:L74" si="20">SUM(G71:G73)</f>
        <v>8626765.625</v>
      </c>
      <c r="H74" s="115">
        <f t="shared" si="20"/>
        <v>6200344.7461949345</v>
      </c>
      <c r="I74" s="115">
        <f t="shared" si="20"/>
        <v>5126069.7890994847</v>
      </c>
      <c r="J74" s="115">
        <f t="shared" si="20"/>
        <v>5410267.9221478403</v>
      </c>
      <c r="K74" s="115">
        <f t="shared" si="20"/>
        <v>7059392.8571428778</v>
      </c>
      <c r="L74" s="115">
        <f t="shared" si="20"/>
        <v>2.4214386940002441E-8</v>
      </c>
      <c r="M74" s="115"/>
      <c r="P74" s="115">
        <f>L74</f>
        <v>2.4214386940002441E-8</v>
      </c>
    </row>
    <row r="75" spans="1:18" ht="5" customHeight="1" x14ac:dyDescent="0.2">
      <c r="G75" s="117"/>
      <c r="H75" s="113"/>
      <c r="I75" s="113"/>
      <c r="J75" s="113"/>
      <c r="K75" s="113"/>
      <c r="L75" s="113"/>
      <c r="M75" s="113"/>
    </row>
    <row r="76" spans="1:18" x14ac:dyDescent="0.2">
      <c r="D76" s="62" t="s">
        <v>163</v>
      </c>
      <c r="E76" s="63"/>
      <c r="F76" s="63"/>
      <c r="G76" s="123">
        <f t="shared" ref="G76:L76" si="21">(G62+G66)-(G69+G74)</f>
        <v>0</v>
      </c>
      <c r="H76" s="123">
        <f t="shared" si="21"/>
        <v>0</v>
      </c>
      <c r="I76" s="123">
        <f t="shared" si="21"/>
        <v>0</v>
      </c>
      <c r="J76" s="123">
        <f t="shared" si="21"/>
        <v>0</v>
      </c>
      <c r="K76" s="123">
        <f t="shared" si="21"/>
        <v>0</v>
      </c>
      <c r="L76" s="124">
        <f t="shared" si="21"/>
        <v>-2.7939677238464355E-9</v>
      </c>
      <c r="M76" s="113"/>
    </row>
    <row r="77" spans="1:18" ht="5" customHeight="1" x14ac:dyDescent="0.2">
      <c r="G77" s="81"/>
    </row>
    <row r="78" spans="1:18" x14ac:dyDescent="0.2">
      <c r="C78" s="20"/>
      <c r="D78" s="20"/>
      <c r="E78" s="20"/>
      <c r="F78" s="108" t="s">
        <v>122</v>
      </c>
      <c r="G78" s="109" t="s">
        <v>24</v>
      </c>
      <c r="H78" s="110">
        <v>1</v>
      </c>
      <c r="I78" s="110">
        <v>2</v>
      </c>
      <c r="J78" s="110">
        <v>3</v>
      </c>
      <c r="K78" s="110">
        <v>4</v>
      </c>
      <c r="L78" s="110">
        <v>5</v>
      </c>
      <c r="M78" s="111" t="s">
        <v>171</v>
      </c>
    </row>
    <row r="79" spans="1:18" x14ac:dyDescent="0.2">
      <c r="C79" s="50" t="s">
        <v>164</v>
      </c>
      <c r="D79" s="50"/>
      <c r="E79" s="50"/>
      <c r="F79" s="50"/>
      <c r="G79" s="86"/>
      <c r="H79" s="50"/>
      <c r="I79" s="50"/>
      <c r="J79" s="50"/>
      <c r="K79" s="50"/>
      <c r="L79" s="50"/>
      <c r="M79" s="50"/>
    </row>
    <row r="80" spans="1:18" ht="5" customHeight="1" x14ac:dyDescent="0.2">
      <c r="F80" s="16"/>
      <c r="G80" s="81"/>
    </row>
    <row r="81" spans="1:20" x14ac:dyDescent="0.2">
      <c r="B81" s="6" t="s">
        <v>175</v>
      </c>
      <c r="D81" s="75"/>
      <c r="E81" s="27"/>
      <c r="F81" s="140" t="s">
        <v>212</v>
      </c>
      <c r="G81" s="106" t="s">
        <v>177</v>
      </c>
      <c r="H81" s="79" t="str">
        <f>$G$81&amp;" Y1"</f>
        <v>BAL Y1</v>
      </c>
      <c r="I81" s="79" t="str">
        <f>$G$81&amp;" Y2"</f>
        <v>BAL Y2</v>
      </c>
      <c r="J81" s="79" t="str">
        <f>$G$81&amp;" Y3"</f>
        <v>BAL Y3</v>
      </c>
      <c r="K81" s="79" t="str">
        <f>$G$81&amp;" Y4"</f>
        <v>BAL Y4</v>
      </c>
      <c r="L81" s="27"/>
      <c r="M81" s="27"/>
    </row>
    <row r="82" spans="1:20" x14ac:dyDescent="0.2">
      <c r="F82" s="55" t="s">
        <v>122</v>
      </c>
      <c r="G82" s="90">
        <v>0</v>
      </c>
      <c r="H82" s="96">
        <v>1</v>
      </c>
      <c r="I82" s="96">
        <v>2</v>
      </c>
      <c r="J82" s="96">
        <v>3</v>
      </c>
      <c r="K82" s="96">
        <v>4</v>
      </c>
      <c r="L82" s="96">
        <v>5</v>
      </c>
      <c r="M82" s="53" t="s">
        <v>171</v>
      </c>
      <c r="N82"/>
    </row>
    <row r="83" spans="1:20" ht="5" customHeight="1" x14ac:dyDescent="0.2">
      <c r="C83" s="16"/>
      <c r="D83" s="16"/>
      <c r="E83" s="16"/>
      <c r="F83" s="16"/>
      <c r="G83" s="85"/>
      <c r="H83" s="16"/>
      <c r="I83" s="16"/>
      <c r="J83" s="16"/>
      <c r="K83" s="16"/>
      <c r="L83" s="16"/>
      <c r="M83" s="16"/>
    </row>
    <row r="84" spans="1:20" x14ac:dyDescent="0.2">
      <c r="D84" s="49" t="s">
        <v>172</v>
      </c>
      <c r="G84" s="117"/>
      <c r="H84" s="113">
        <f>VLOOKUP(H81,Assumptions!$B$38:$C$53,2,FALSE)</f>
        <v>45337500</v>
      </c>
      <c r="I84" s="113">
        <f>VLOOKUP(I81,Assumptions!$B$38:$C$53,2,FALSE)</f>
        <v>46244250</v>
      </c>
      <c r="J84" s="113">
        <f>VLOOKUP(J81,Assumptions!$B$38:$C$53,2,FALSE)</f>
        <v>47169135</v>
      </c>
      <c r="K84" s="113">
        <f>VLOOKUP(K81,Assumptions!$B$38:$C$53,2,FALSE)</f>
        <v>48112517.700000003</v>
      </c>
      <c r="L84" s="113"/>
      <c r="M84" s="116">
        <f>G84+H84+I84+J84+K84+L84</f>
        <v>186863402.69999999</v>
      </c>
    </row>
    <row r="85" spans="1:20" x14ac:dyDescent="0.2">
      <c r="D85" s="54" t="s">
        <v>213</v>
      </c>
      <c r="G85" s="117"/>
      <c r="H85" s="113">
        <f>+H13</f>
        <v>2266875</v>
      </c>
      <c r="I85" s="113">
        <f>+I13</f>
        <v>2312212.5</v>
      </c>
      <c r="J85" s="113">
        <f>+J13</f>
        <v>2358456.75</v>
      </c>
      <c r="K85" s="113">
        <f>+K13</f>
        <v>2405625.8850000002</v>
      </c>
      <c r="L85" s="113"/>
      <c r="M85" s="116">
        <f>G85+H85+I85+J85+K85+L85</f>
        <v>9343170.1349999998</v>
      </c>
    </row>
    <row r="86" spans="1:20" x14ac:dyDescent="0.2">
      <c r="C86" s="18" t="s">
        <v>120</v>
      </c>
      <c r="G86" s="117"/>
      <c r="H86" s="113">
        <f>H6</f>
        <v>43759876.35685081</v>
      </c>
      <c r="I86" s="113">
        <f>I6</f>
        <v>44635073.883987829</v>
      </c>
      <c r="J86" s="113">
        <f>J6</f>
        <v>45527775.361667588</v>
      </c>
      <c r="K86" s="113">
        <f>K6</f>
        <v>46438330.86890094</v>
      </c>
      <c r="L86" s="113"/>
      <c r="M86" s="116">
        <f>G86+H86+I86+J86+K86+L86</f>
        <v>180361056.47140718</v>
      </c>
    </row>
    <row r="87" spans="1:20" x14ac:dyDescent="0.2">
      <c r="A87" s="72"/>
      <c r="B87" s="89"/>
      <c r="D87" s="49" t="s">
        <v>7</v>
      </c>
      <c r="G87" s="117"/>
      <c r="H87" s="115">
        <f>+H84+H85-H86</f>
        <v>3844498.6431491897</v>
      </c>
      <c r="I87" s="115">
        <f>+I84+I85-I86</f>
        <v>3921388.6160121709</v>
      </c>
      <c r="J87" s="115">
        <f>+J84+J85-J86</f>
        <v>3999816.3883324116</v>
      </c>
      <c r="K87" s="115">
        <f>+K84+K85-K86</f>
        <v>4079812.7160990611</v>
      </c>
      <c r="L87" s="113"/>
      <c r="M87" s="115">
        <f>G87+H87+I87+J87+K87+L87</f>
        <v>15845516.363592833</v>
      </c>
      <c r="N87" s="72"/>
    </row>
    <row r="88" spans="1:20" x14ac:dyDescent="0.2">
      <c r="C88" s="73"/>
      <c r="D88" s="103" t="s">
        <v>8</v>
      </c>
      <c r="E88" s="73"/>
      <c r="F88" s="73"/>
      <c r="G88" s="8"/>
      <c r="H88" s="72">
        <f>H87/H84</f>
        <v>8.4797323256668097E-2</v>
      </c>
      <c r="I88" s="72">
        <f>I87/I84</f>
        <v>8.4797323256668042E-2</v>
      </c>
      <c r="J88" s="72">
        <f>J87/J84</f>
        <v>8.4797323256667986E-2</v>
      </c>
      <c r="K88" s="72">
        <f>K87/K84</f>
        <v>8.4797323256668E-2</v>
      </c>
      <c r="L88" s="72"/>
      <c r="M88" s="72">
        <f>M87/M84</f>
        <v>8.4797323256668028E-2</v>
      </c>
      <c r="O88" s="100">
        <f>M87/M84</f>
        <v>8.4797323256668028E-2</v>
      </c>
    </row>
    <row r="89" spans="1:20" ht="5" customHeight="1" x14ac:dyDescent="0.2">
      <c r="G89" s="81"/>
    </row>
    <row r="90" spans="1:20" x14ac:dyDescent="0.2">
      <c r="B90" s="6" t="s">
        <v>175</v>
      </c>
      <c r="C90" s="18" t="s">
        <v>173</v>
      </c>
      <c r="G90" s="120">
        <v>3000</v>
      </c>
      <c r="H90" s="113">
        <f>G90*(1+infl)</f>
        <v>3060</v>
      </c>
      <c r="I90" s="113">
        <f>H90*(1+infl)</f>
        <v>3121.2000000000003</v>
      </c>
      <c r="J90" s="113">
        <f>I90*(1+infl)</f>
        <v>3183.6240000000003</v>
      </c>
      <c r="K90" s="113">
        <f>J90*(1+infl)</f>
        <v>3247.2964800000004</v>
      </c>
      <c r="L90" s="113"/>
      <c r="M90" s="116">
        <f>G90+H90+I90+J90+K90+L90</f>
        <v>15612.120480000001</v>
      </c>
      <c r="N90" s="113"/>
    </row>
    <row r="91" spans="1:20" x14ac:dyDescent="0.2">
      <c r="D91" s="49" t="s">
        <v>168</v>
      </c>
      <c r="G91" s="117">
        <f t="shared" ref="G91:L91" si="22">G90</f>
        <v>3000</v>
      </c>
      <c r="H91" s="113">
        <f t="shared" si="22"/>
        <v>3060</v>
      </c>
      <c r="I91" s="113">
        <f t="shared" si="22"/>
        <v>3121.2000000000003</v>
      </c>
      <c r="J91" s="113">
        <f t="shared" si="22"/>
        <v>3183.6240000000003</v>
      </c>
      <c r="K91" s="113">
        <f t="shared" si="22"/>
        <v>3247.2964800000004</v>
      </c>
      <c r="L91" s="113">
        <f t="shared" si="22"/>
        <v>0</v>
      </c>
      <c r="M91" s="116">
        <f>G91+H91+I91+J91+K91+L91</f>
        <v>15612.120480000001</v>
      </c>
      <c r="N91" s="113"/>
      <c r="O91" s="100">
        <f>M91/M84</f>
        <v>8.3548304560548405E-5</v>
      </c>
    </row>
    <row r="92" spans="1:20" ht="5" customHeight="1" x14ac:dyDescent="0.2">
      <c r="G92" s="117"/>
      <c r="H92" s="113"/>
      <c r="I92" s="113"/>
      <c r="J92" s="113"/>
      <c r="K92" s="113"/>
      <c r="L92" s="113"/>
      <c r="M92" s="113"/>
      <c r="N92" s="113"/>
    </row>
    <row r="93" spans="1:20" s="57" customFormat="1" x14ac:dyDescent="0.2">
      <c r="A93"/>
      <c r="B93" s="6" t="s">
        <v>175</v>
      </c>
      <c r="C93" s="54" t="s">
        <v>125</v>
      </c>
      <c r="D93" s="16"/>
      <c r="E93" s="18"/>
      <c r="F93" s="18"/>
      <c r="G93" s="120"/>
      <c r="H93" s="128"/>
      <c r="I93" s="120"/>
      <c r="J93" s="120"/>
      <c r="K93" s="120"/>
      <c r="L93" s="120"/>
      <c r="M93" s="116">
        <f>G93+H93+I93+J93+K93+L93</f>
        <v>0</v>
      </c>
      <c r="N93" s="113"/>
      <c r="O93" s="100"/>
      <c r="P93" s="115"/>
      <c r="Q93" s="52"/>
      <c r="R93" s="52"/>
      <c r="S93" s="52"/>
      <c r="T93" s="52"/>
    </row>
    <row r="94" spans="1:20" ht="5" customHeight="1" x14ac:dyDescent="0.2">
      <c r="A94" s="56"/>
      <c r="G94" s="117"/>
      <c r="H94" s="113"/>
      <c r="I94" s="113"/>
      <c r="J94" s="113"/>
      <c r="K94" s="113"/>
      <c r="L94" s="113"/>
      <c r="M94" s="113"/>
      <c r="N94" s="115"/>
      <c r="O94" s="137"/>
    </row>
    <row r="95" spans="1:20" s="57" customFormat="1" x14ac:dyDescent="0.2">
      <c r="A95" s="56"/>
      <c r="B95" s="6"/>
      <c r="C95" s="49"/>
      <c r="D95" s="49" t="s">
        <v>126</v>
      </c>
      <c r="E95" s="49"/>
      <c r="F95" s="49"/>
      <c r="G95" s="114">
        <f t="shared" ref="G95:L95" si="23">G87-G91</f>
        <v>-3000</v>
      </c>
      <c r="H95" s="115">
        <f t="shared" si="23"/>
        <v>3841438.6431491897</v>
      </c>
      <c r="I95" s="115">
        <f t="shared" si="23"/>
        <v>3918267.4160121707</v>
      </c>
      <c r="J95" s="115">
        <f t="shared" si="23"/>
        <v>3996632.7643324118</v>
      </c>
      <c r="K95" s="115">
        <f t="shared" si="23"/>
        <v>4076565.4196190611</v>
      </c>
      <c r="L95" s="115">
        <f t="shared" si="23"/>
        <v>0</v>
      </c>
      <c r="M95" s="116">
        <f>G95+H95+I95+J95+K95+L95</f>
        <v>15829904.243112832</v>
      </c>
      <c r="N95" s="115"/>
      <c r="O95" s="104">
        <f>M95/M84</f>
        <v>8.4713774952107482E-2</v>
      </c>
      <c r="P95" s="115"/>
      <c r="Q95" s="52"/>
      <c r="R95" s="52"/>
      <c r="S95" s="52"/>
      <c r="T95" s="52"/>
    </row>
    <row r="96" spans="1:20" x14ac:dyDescent="0.2">
      <c r="C96" s="49"/>
      <c r="D96" s="49" t="s">
        <v>127</v>
      </c>
      <c r="E96" s="49"/>
      <c r="F96" s="49"/>
      <c r="G96" s="114">
        <f t="shared" ref="G96:L96" si="24">G95-G93</f>
        <v>-3000</v>
      </c>
      <c r="H96" s="115">
        <f t="shared" si="24"/>
        <v>3841438.6431491897</v>
      </c>
      <c r="I96" s="115">
        <f t="shared" si="24"/>
        <v>3918267.4160121707</v>
      </c>
      <c r="J96" s="115">
        <f t="shared" si="24"/>
        <v>3996632.7643324118</v>
      </c>
      <c r="K96" s="115">
        <f t="shared" si="24"/>
        <v>4076565.4196190611</v>
      </c>
      <c r="L96" s="115">
        <f t="shared" si="24"/>
        <v>0</v>
      </c>
      <c r="M96" s="116">
        <f>G96+H96+I96+J96+K96+L96</f>
        <v>15829904.243112832</v>
      </c>
      <c r="N96" s="113"/>
      <c r="O96" s="100">
        <f>M96/M84</f>
        <v>8.4713774952107482E-2</v>
      </c>
    </row>
    <row r="97" spans="1:20" s="57" customFormat="1" ht="5" customHeight="1" x14ac:dyDescent="0.2">
      <c r="A97"/>
      <c r="C97" s="18"/>
      <c r="D97" s="18"/>
      <c r="E97" s="18"/>
      <c r="F97" s="18"/>
      <c r="G97" s="117"/>
      <c r="H97" s="113"/>
      <c r="I97" s="113"/>
      <c r="J97" s="113"/>
      <c r="K97" s="113"/>
      <c r="L97" s="113"/>
      <c r="M97" s="113"/>
      <c r="N97" s="113"/>
      <c r="O97" s="100"/>
      <c r="P97" s="115"/>
      <c r="Q97" s="52"/>
      <c r="R97" s="52"/>
      <c r="S97" s="52"/>
      <c r="T97" s="52"/>
    </row>
    <row r="98" spans="1:20" s="57" customFormat="1" x14ac:dyDescent="0.2">
      <c r="A98"/>
      <c r="B98" s="6" t="s">
        <v>175</v>
      </c>
      <c r="C98" s="49"/>
      <c r="D98" s="49" t="s">
        <v>130</v>
      </c>
      <c r="E98" s="18"/>
      <c r="F98" s="18"/>
      <c r="G98" s="120"/>
      <c r="H98" s="128"/>
      <c r="I98" s="120"/>
      <c r="J98" s="120"/>
      <c r="K98" s="120"/>
      <c r="L98" s="120"/>
      <c r="M98" s="116">
        <f>G98+H98+I98+J98+K98+L98</f>
        <v>0</v>
      </c>
      <c r="N98" s="113"/>
      <c r="O98" s="100"/>
      <c r="P98" s="115"/>
      <c r="Q98" s="52"/>
      <c r="R98" s="52"/>
      <c r="S98" s="52"/>
      <c r="T98" s="52"/>
    </row>
    <row r="99" spans="1:20" ht="5" customHeight="1" x14ac:dyDescent="0.2">
      <c r="A99" s="56"/>
      <c r="G99" s="117"/>
      <c r="H99" s="113"/>
      <c r="I99" s="113"/>
      <c r="J99" s="113"/>
      <c r="K99" s="113"/>
      <c r="L99" s="113"/>
      <c r="M99" s="113"/>
      <c r="N99" s="115"/>
      <c r="O99" s="137"/>
    </row>
    <row r="100" spans="1:20" x14ac:dyDescent="0.2">
      <c r="C100" s="49"/>
      <c r="D100" s="49" t="s">
        <v>143</v>
      </c>
      <c r="E100" s="49"/>
      <c r="F100" s="49"/>
      <c r="G100" s="114">
        <f t="shared" ref="G100:L100" si="25">G96-G98</f>
        <v>-3000</v>
      </c>
      <c r="H100" s="115">
        <f t="shared" si="25"/>
        <v>3841438.6431491897</v>
      </c>
      <c r="I100" s="115">
        <f t="shared" si="25"/>
        <v>3918267.4160121707</v>
      </c>
      <c r="J100" s="115">
        <f t="shared" si="25"/>
        <v>3996632.7643324118</v>
      </c>
      <c r="K100" s="115">
        <f t="shared" si="25"/>
        <v>4076565.4196190611</v>
      </c>
      <c r="L100" s="115">
        <f t="shared" si="25"/>
        <v>0</v>
      </c>
      <c r="M100" s="115">
        <f>G100+H100+I100+J100+K100+L100</f>
        <v>15829904.243112832</v>
      </c>
      <c r="N100" s="113"/>
      <c r="O100" s="100">
        <f>M100/M84</f>
        <v>8.4713774952107482E-2</v>
      </c>
    </row>
    <row r="101" spans="1:20" ht="5" customHeight="1" x14ac:dyDescent="0.2">
      <c r="G101" s="117"/>
      <c r="H101" s="113"/>
      <c r="I101" s="113"/>
      <c r="J101" s="113"/>
      <c r="K101" s="113"/>
      <c r="L101" s="113"/>
      <c r="M101" s="113"/>
      <c r="N101" s="113"/>
    </row>
    <row r="102" spans="1:20" s="60" customFormat="1" x14ac:dyDescent="0.2">
      <c r="A102"/>
      <c r="B102" s="6" t="s">
        <v>175</v>
      </c>
      <c r="C102" s="18" t="s">
        <v>10</v>
      </c>
      <c r="D102" s="18"/>
      <c r="E102" s="18"/>
      <c r="F102" s="18"/>
      <c r="G102" s="120"/>
      <c r="H102" s="128"/>
      <c r="I102" s="120"/>
      <c r="J102" s="120"/>
      <c r="K102" s="120"/>
      <c r="L102" s="120"/>
      <c r="M102" s="116">
        <f>G102+H102+I102+J102+K102+L102</f>
        <v>0</v>
      </c>
      <c r="N102" s="113"/>
      <c r="O102" s="100">
        <f>M102/M84</f>
        <v>0</v>
      </c>
      <c r="P102" s="115"/>
      <c r="Q102" s="59"/>
      <c r="R102" s="59"/>
      <c r="S102" s="59"/>
      <c r="T102" s="59"/>
    </row>
    <row r="103" spans="1:20" ht="5" customHeight="1" x14ac:dyDescent="0.2">
      <c r="G103" s="117"/>
      <c r="H103" s="113"/>
      <c r="I103" s="113"/>
      <c r="J103" s="113"/>
      <c r="K103" s="113"/>
      <c r="L103" s="113"/>
      <c r="M103" s="113"/>
      <c r="N103" s="113"/>
    </row>
    <row r="104" spans="1:20" x14ac:dyDescent="0.2">
      <c r="C104" s="49"/>
      <c r="D104" s="49" t="s">
        <v>144</v>
      </c>
      <c r="E104" s="49"/>
      <c r="F104" s="49"/>
      <c r="G104" s="114">
        <f t="shared" ref="G104:L104" si="26">G100-G102</f>
        <v>-3000</v>
      </c>
      <c r="H104" s="115">
        <f t="shared" si="26"/>
        <v>3841438.6431491897</v>
      </c>
      <c r="I104" s="115">
        <f t="shared" si="26"/>
        <v>3918267.4160121707</v>
      </c>
      <c r="J104" s="115">
        <f t="shared" si="26"/>
        <v>3996632.7643324118</v>
      </c>
      <c r="K104" s="115">
        <f t="shared" si="26"/>
        <v>4076565.4196190611</v>
      </c>
      <c r="L104" s="115">
        <f t="shared" si="26"/>
        <v>0</v>
      </c>
      <c r="M104" s="115">
        <f>G104+H104+I104+J104+K104+L104</f>
        <v>15829904.243112832</v>
      </c>
      <c r="N104" s="113"/>
      <c r="O104" s="100">
        <f>M104/M84</f>
        <v>8.4713774952107482E-2</v>
      </c>
    </row>
    <row r="105" spans="1:20" s="57" customFormat="1" ht="5" customHeight="1" x14ac:dyDescent="0.2">
      <c r="A105" s="56"/>
      <c r="B105" s="6"/>
      <c r="C105" s="18"/>
      <c r="D105" s="18"/>
      <c r="E105" s="18"/>
      <c r="F105" s="18"/>
      <c r="G105" s="117"/>
      <c r="H105" s="113"/>
      <c r="I105" s="113"/>
      <c r="J105" s="113"/>
      <c r="K105" s="113"/>
      <c r="L105" s="113"/>
      <c r="M105" s="113"/>
      <c r="N105" s="115"/>
      <c r="O105" s="137"/>
      <c r="P105" s="115"/>
      <c r="Q105" s="52"/>
      <c r="R105" s="52"/>
      <c r="S105" s="52"/>
      <c r="T105" s="52"/>
    </row>
    <row r="106" spans="1:20" x14ac:dyDescent="0.2">
      <c r="C106" s="49"/>
      <c r="D106" s="57" t="s">
        <v>178</v>
      </c>
      <c r="E106" s="16"/>
      <c r="F106" s="16"/>
      <c r="G106" s="121">
        <f>G104</f>
        <v>-3000</v>
      </c>
      <c r="H106" s="122">
        <f>H104+G106+H108</f>
        <v>838438.64314918965</v>
      </c>
      <c r="I106" s="122">
        <f>I104+H106+I108</f>
        <v>756706.05916136038</v>
      </c>
      <c r="J106" s="122">
        <f>J104+I106+J108</f>
        <v>753338.82349377219</v>
      </c>
      <c r="K106" s="122">
        <f>K104+J106+K108</f>
        <v>829904.24311283324</v>
      </c>
      <c r="L106" s="122">
        <f>L104+K106+L108</f>
        <v>-2999.9568871667143</v>
      </c>
      <c r="M106" s="122"/>
      <c r="N106" s="113"/>
    </row>
    <row r="107" spans="1:20" ht="5" customHeight="1" x14ac:dyDescent="0.2">
      <c r="F107"/>
      <c r="G107" s="122"/>
      <c r="H107" s="113"/>
      <c r="I107" s="113"/>
      <c r="J107" s="113"/>
      <c r="K107" s="113"/>
      <c r="L107" s="113"/>
      <c r="M107" s="113"/>
      <c r="N107" s="113"/>
    </row>
    <row r="108" spans="1:20" x14ac:dyDescent="0.2">
      <c r="B108" s="6" t="s">
        <v>175</v>
      </c>
      <c r="D108" s="49" t="s">
        <v>176</v>
      </c>
      <c r="E108" s="49"/>
      <c r="F108"/>
      <c r="G108" s="122"/>
      <c r="H108" s="129">
        <v>-3000000</v>
      </c>
      <c r="I108" s="130">
        <v>-4000000</v>
      </c>
      <c r="J108" s="129">
        <v>-4000000</v>
      </c>
      <c r="K108" s="129">
        <v>-4000000</v>
      </c>
      <c r="L108" s="129">
        <v>-832904.2</v>
      </c>
      <c r="M108" s="115">
        <f>G108+H108+I108+J108+K108+L108</f>
        <v>-15832904.199999999</v>
      </c>
      <c r="N108" s="113"/>
    </row>
    <row r="109" spans="1:20" s="57" customFormat="1" ht="5" customHeight="1" x14ac:dyDescent="0.2">
      <c r="A109"/>
      <c r="B109" s="6"/>
      <c r="C109" s="18"/>
      <c r="D109" s="18"/>
      <c r="E109" s="18"/>
      <c r="F109"/>
      <c r="G109" s="121"/>
      <c r="H109" s="113"/>
      <c r="I109" s="113"/>
      <c r="J109" s="113"/>
      <c r="K109" s="113"/>
      <c r="L109" s="113"/>
      <c r="M109" s="113"/>
      <c r="N109" s="113"/>
      <c r="O109" s="100"/>
      <c r="P109" s="115"/>
      <c r="Q109" s="52"/>
      <c r="R109" s="52"/>
      <c r="S109" s="52"/>
      <c r="T109" s="52"/>
    </row>
    <row r="110" spans="1:20" x14ac:dyDescent="0.2">
      <c r="B110" s="6" t="s">
        <v>175</v>
      </c>
      <c r="D110" s="49" t="s">
        <v>152</v>
      </c>
      <c r="G110" s="120"/>
      <c r="H110" s="115">
        <f>G110+H104+H108</f>
        <v>841438.64314918965</v>
      </c>
      <c r="I110" s="115">
        <f>H110+I104+I108</f>
        <v>759706.05916136038</v>
      </c>
      <c r="J110" s="115">
        <f>I110+J104+J108</f>
        <v>756338.82349377219</v>
      </c>
      <c r="K110" s="115">
        <f>J110+K104+K108</f>
        <v>832904.24311283324</v>
      </c>
      <c r="L110" s="115">
        <f>K110+L104+L108</f>
        <v>4.3112833285704255E-2</v>
      </c>
      <c r="M110" s="115"/>
      <c r="N110" s="113"/>
      <c r="P110" s="115">
        <f>L110</f>
        <v>4.3112833285704255E-2</v>
      </c>
    </row>
    <row r="111" spans="1:20" ht="5" customHeight="1" x14ac:dyDescent="0.2">
      <c r="G111" s="117"/>
      <c r="H111" s="113"/>
      <c r="I111" s="113"/>
      <c r="J111" s="113"/>
      <c r="K111" s="113"/>
      <c r="L111" s="113"/>
      <c r="M111" s="113"/>
      <c r="N111" s="113"/>
    </row>
    <row r="112" spans="1:20" x14ac:dyDescent="0.2">
      <c r="E112" s="62" t="s">
        <v>163</v>
      </c>
      <c r="F112" s="63"/>
      <c r="G112" s="123"/>
      <c r="H112" s="131" t="str">
        <f>IF(H110&lt;0,"NO RESERVE", "-")</f>
        <v>-</v>
      </c>
      <c r="I112" s="131" t="str">
        <f>IF(I110&lt;0,"NO RESERVE", "-")</f>
        <v>-</v>
      </c>
      <c r="J112" s="131" t="str">
        <f>IF(J110&lt;0,"NO RESERVE", "-")</f>
        <v>-</v>
      </c>
      <c r="K112" s="131" t="str">
        <f>IF(K110&lt;0,"NO RESERVE", "-")</f>
        <v>-</v>
      </c>
      <c r="L112" s="132" t="str">
        <f>IF(L110&lt;0,"NO RESERVE", "-")</f>
        <v>-</v>
      </c>
      <c r="M112" s="113"/>
      <c r="N112" s="113"/>
    </row>
    <row r="113" spans="1:21" s="57" customFormat="1" ht="5" customHeight="1" x14ac:dyDescent="0.2">
      <c r="A113"/>
      <c r="B113" s="6"/>
      <c r="C113" s="18"/>
      <c r="D113" s="18"/>
      <c r="E113" s="18"/>
      <c r="F113" s="18"/>
      <c r="G113" s="81"/>
      <c r="H113" s="17"/>
      <c r="I113" s="17"/>
      <c r="J113" s="17"/>
      <c r="K113" s="17"/>
      <c r="L113" s="17"/>
      <c r="M113" s="17"/>
      <c r="N113" s="17"/>
      <c r="O113" s="100"/>
      <c r="P113" s="115"/>
      <c r="Q113" s="52"/>
      <c r="R113" s="52"/>
      <c r="S113" s="52"/>
      <c r="T113" s="52"/>
    </row>
    <row r="114" spans="1:21" ht="16" customHeight="1" x14ac:dyDescent="0.25">
      <c r="B114" s="38"/>
      <c r="C114" s="37" t="s">
        <v>179</v>
      </c>
      <c r="D114" s="38"/>
      <c r="E114" s="38"/>
      <c r="F114" s="38"/>
      <c r="G114" s="91"/>
      <c r="H114" s="38"/>
      <c r="I114" s="38"/>
      <c r="J114" s="38"/>
      <c r="K114" s="38"/>
      <c r="L114" s="38"/>
      <c r="M114" s="38"/>
      <c r="R114" s="59"/>
    </row>
    <row r="115" spans="1:21" x14ac:dyDescent="0.2">
      <c r="C115" s="51" t="s">
        <v>187</v>
      </c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R115" s="59"/>
    </row>
    <row r="116" spans="1:21" s="57" customFormat="1" x14ac:dyDescent="0.2">
      <c r="A116"/>
      <c r="B116" s="6"/>
      <c r="C116" s="18"/>
      <c r="D116" s="18"/>
      <c r="E116" s="18"/>
      <c r="F116" s="55" t="str">
        <f t="shared" ref="F116:M116" si="27">F82</f>
        <v>YEAR</v>
      </c>
      <c r="G116" s="90">
        <f t="shared" si="27"/>
        <v>0</v>
      </c>
      <c r="H116" s="96">
        <f t="shared" si="27"/>
        <v>1</v>
      </c>
      <c r="I116" s="96">
        <f t="shared" si="27"/>
        <v>2</v>
      </c>
      <c r="J116" s="96">
        <f t="shared" si="27"/>
        <v>3</v>
      </c>
      <c r="K116" s="96">
        <f t="shared" si="27"/>
        <v>4</v>
      </c>
      <c r="L116" s="96">
        <f t="shared" si="27"/>
        <v>5</v>
      </c>
      <c r="M116" s="53" t="str">
        <f t="shared" si="27"/>
        <v>SUM</v>
      </c>
      <c r="N116" s="17"/>
      <c r="O116" s="100"/>
      <c r="P116" s="115"/>
      <c r="Q116" s="52"/>
      <c r="R116" s="101"/>
      <c r="S116" s="52"/>
      <c r="T116" s="52"/>
    </row>
    <row r="117" spans="1:21" x14ac:dyDescent="0.2">
      <c r="B117" s="6" t="s">
        <v>175</v>
      </c>
      <c r="F117" s="18" t="s">
        <v>184</v>
      </c>
      <c r="G117" s="93">
        <f ca="1">TODAY()</f>
        <v>44082</v>
      </c>
      <c r="H117" s="94">
        <f ca="1">DATE(YEAR(G117)+1,MONTH(G117),DAY(G117))</f>
        <v>44447</v>
      </c>
      <c r="I117" s="94">
        <f ca="1">DATE(YEAR(H117)+1,MONTH(H117),DAY(H117))</f>
        <v>44812</v>
      </c>
      <c r="J117" s="94">
        <f ca="1">DATE(YEAR(I117)+1,MONTH(I117),DAY(I117))</f>
        <v>45177</v>
      </c>
      <c r="K117" s="94">
        <f ca="1">DATE(YEAR(J117)+1,MONTH(J117),DAY(J117))</f>
        <v>45543</v>
      </c>
      <c r="L117" s="94">
        <f ca="1">DATE(YEAR(K117)+1,MONTH(K117),DAY(K117))</f>
        <v>45908</v>
      </c>
      <c r="R117" s="101"/>
    </row>
    <row r="118" spans="1:21" x14ac:dyDescent="0.2">
      <c r="F118" s="92" t="s">
        <v>180</v>
      </c>
      <c r="G118" s="117">
        <f>-G46</f>
        <v>-9982250</v>
      </c>
      <c r="H118" s="113"/>
      <c r="I118" s="113"/>
      <c r="J118" s="113"/>
      <c r="K118" s="113"/>
      <c r="L118" s="113"/>
      <c r="M118" s="116">
        <f>G118+H118+I118+J118+K118+L118</f>
        <v>-9982250</v>
      </c>
      <c r="R118" s="101"/>
    </row>
    <row r="119" spans="1:21" x14ac:dyDescent="0.2">
      <c r="F119" s="92" t="s">
        <v>181</v>
      </c>
      <c r="G119" s="117"/>
      <c r="H119" s="113">
        <f>-H49-H50</f>
        <v>0</v>
      </c>
      <c r="I119" s="113">
        <f>-I49-I50</f>
        <v>0</v>
      </c>
      <c r="J119" s="113">
        <f>-J49-J50</f>
        <v>0</v>
      </c>
      <c r="K119" s="113">
        <f>-K49-K50</f>
        <v>0</v>
      </c>
      <c r="L119" s="113">
        <f>-L49-L50</f>
        <v>9982250</v>
      </c>
      <c r="M119" s="116">
        <f>G119+H119+I119+J119+K119+L119</f>
        <v>9982250</v>
      </c>
      <c r="R119" s="101"/>
      <c r="U119" s="44"/>
    </row>
    <row r="120" spans="1:21" x14ac:dyDescent="0.2">
      <c r="F120" s="49" t="s">
        <v>182</v>
      </c>
      <c r="G120" s="114">
        <f t="shared" ref="G120:L120" si="28">SUM(G118:G119)</f>
        <v>-9982250</v>
      </c>
      <c r="H120" s="114">
        <f t="shared" si="28"/>
        <v>0</v>
      </c>
      <c r="I120" s="114">
        <f t="shared" si="28"/>
        <v>0</v>
      </c>
      <c r="J120" s="114">
        <f t="shared" si="28"/>
        <v>0</v>
      </c>
      <c r="K120" s="114">
        <f t="shared" si="28"/>
        <v>0</v>
      </c>
      <c r="L120" s="114">
        <f t="shared" si="28"/>
        <v>9982250</v>
      </c>
      <c r="M120" s="115">
        <f>G120+H120+I120+J120+K120+L120</f>
        <v>0</v>
      </c>
      <c r="R120" s="101"/>
      <c r="S120" s="52"/>
    </row>
    <row r="121" spans="1:21" ht="5" customHeight="1" x14ac:dyDescent="0.2">
      <c r="G121" s="81"/>
      <c r="R121" s="101"/>
    </row>
    <row r="122" spans="1:21" x14ac:dyDescent="0.2">
      <c r="F122" s="49" t="s">
        <v>183</v>
      </c>
      <c r="G122" s="95">
        <f ca="1">XIRR(G120:L120,G117:L117)</f>
        <v>2.9802322387695314E-9</v>
      </c>
      <c r="R122" s="59"/>
    </row>
    <row r="123" spans="1:21" x14ac:dyDescent="0.2">
      <c r="F123" s="49" t="s">
        <v>186</v>
      </c>
      <c r="G123" s="117">
        <f ca="1">XNPV(G124,G120:L120,G117:L117)</f>
        <v>-5021207.527759213</v>
      </c>
      <c r="R123" s="59"/>
    </row>
    <row r="124" spans="1:21" s="57" customFormat="1" x14ac:dyDescent="0.2">
      <c r="A124"/>
      <c r="B124" s="6" t="s">
        <v>175</v>
      </c>
      <c r="C124" s="18"/>
      <c r="D124" s="18"/>
      <c r="E124" s="18" t="s">
        <v>185</v>
      </c>
      <c r="G124" s="46">
        <v>0.15</v>
      </c>
      <c r="H124" s="17"/>
      <c r="I124" s="17"/>
      <c r="J124" s="17"/>
      <c r="K124" s="17"/>
      <c r="L124" s="17"/>
      <c r="M124" s="17"/>
      <c r="N124" s="17"/>
      <c r="O124" s="100"/>
      <c r="P124" s="115"/>
      <c r="Q124" s="52"/>
      <c r="R124" s="60"/>
      <c r="S124" s="17"/>
      <c r="T124" s="52"/>
    </row>
    <row r="125" spans="1:21" ht="5" customHeight="1" x14ac:dyDescent="0.2">
      <c r="G125" s="81"/>
      <c r="R125" s="59"/>
    </row>
    <row r="126" spans="1:21" x14ac:dyDescent="0.2">
      <c r="C126" s="51" t="s">
        <v>188</v>
      </c>
      <c r="D126" s="51"/>
      <c r="E126" s="51"/>
      <c r="F126" s="51"/>
      <c r="G126" s="51"/>
      <c r="H126" s="51"/>
      <c r="I126" s="51"/>
      <c r="J126" s="51"/>
      <c r="K126" s="51"/>
      <c r="L126" s="51"/>
      <c r="M126" s="51"/>
    </row>
    <row r="127" spans="1:21" x14ac:dyDescent="0.2">
      <c r="F127" s="55" t="str">
        <f t="shared" ref="F127:M127" si="29">F116</f>
        <v>YEAR</v>
      </c>
      <c r="G127" s="96">
        <f t="shared" si="29"/>
        <v>0</v>
      </c>
      <c r="H127" s="96">
        <f t="shared" si="29"/>
        <v>1</v>
      </c>
      <c r="I127" s="96">
        <f t="shared" si="29"/>
        <v>2</v>
      </c>
      <c r="J127" s="96">
        <f t="shared" si="29"/>
        <v>3</v>
      </c>
      <c r="K127" s="96">
        <f t="shared" si="29"/>
        <v>4</v>
      </c>
      <c r="L127" s="96">
        <f t="shared" si="29"/>
        <v>5</v>
      </c>
      <c r="M127" s="96" t="str">
        <f t="shared" si="29"/>
        <v>SUM</v>
      </c>
      <c r="R127" s="94"/>
    </row>
    <row r="128" spans="1:21" x14ac:dyDescent="0.2">
      <c r="B128" s="6" t="s">
        <v>175</v>
      </c>
      <c r="F128" s="18" t="s">
        <v>184</v>
      </c>
      <c r="G128" s="93">
        <f ca="1">G117</f>
        <v>44082</v>
      </c>
      <c r="H128" s="94">
        <f ca="1">DATE(YEAR(G128)+1,MONTH(G128),DAY(G128))</f>
        <v>44447</v>
      </c>
      <c r="I128" s="94">
        <f ca="1">DATE(YEAR(H128)+1,MONTH(H128),DAY(H128))</f>
        <v>44812</v>
      </c>
      <c r="J128" s="94">
        <f ca="1">DATE(YEAR(I128)+1,MONTH(I128),DAY(I128))</f>
        <v>45177</v>
      </c>
      <c r="K128" s="94">
        <f ca="1">DATE(YEAR(J128)+1,MONTH(J128),DAY(J128))</f>
        <v>45543</v>
      </c>
      <c r="L128" s="94">
        <f ca="1">DATE(YEAR(K128)+1,MONTH(K128),DAY(K128))</f>
        <v>45908</v>
      </c>
      <c r="R128" s="94"/>
      <c r="U128" s="102"/>
    </row>
    <row r="129" spans="1:20" x14ac:dyDescent="0.2">
      <c r="B129" s="6" t="s">
        <v>175</v>
      </c>
      <c r="F129" s="92" t="s">
        <v>189</v>
      </c>
      <c r="G129" s="129">
        <v>-485749.99999999919</v>
      </c>
      <c r="H129" s="113"/>
      <c r="I129" s="113"/>
      <c r="J129" s="113"/>
      <c r="K129" s="113"/>
      <c r="L129" s="113"/>
      <c r="M129" s="116">
        <f>G129+H129+I129+J129+K129+L129</f>
        <v>-485749.99999999919</v>
      </c>
      <c r="R129" s="94"/>
    </row>
    <row r="130" spans="1:20" x14ac:dyDescent="0.2">
      <c r="F130" s="92" t="s">
        <v>181</v>
      </c>
      <c r="G130" s="117">
        <v>0</v>
      </c>
      <c r="H130" s="113">
        <f>-H108</f>
        <v>3000000</v>
      </c>
      <c r="I130" s="113">
        <f>-I108</f>
        <v>4000000</v>
      </c>
      <c r="J130" s="113">
        <f>-J108</f>
        <v>4000000</v>
      </c>
      <c r="K130" s="113">
        <f>-K108</f>
        <v>4000000</v>
      </c>
      <c r="L130" s="113">
        <f>-L108</f>
        <v>832904.2</v>
      </c>
      <c r="M130" s="116">
        <f>G130+H130+I130+J130+K130+L130</f>
        <v>15832904.199999999</v>
      </c>
      <c r="R130" s="94"/>
    </row>
    <row r="131" spans="1:20" x14ac:dyDescent="0.2">
      <c r="F131" s="49" t="s">
        <v>182</v>
      </c>
      <c r="G131" s="114">
        <f t="shared" ref="G131:L131" si="30">SUM(G129:G130)</f>
        <v>-485749.99999999919</v>
      </c>
      <c r="H131" s="114">
        <f t="shared" si="30"/>
        <v>3000000</v>
      </c>
      <c r="I131" s="114">
        <f t="shared" si="30"/>
        <v>4000000</v>
      </c>
      <c r="J131" s="114">
        <f t="shared" si="30"/>
        <v>4000000</v>
      </c>
      <c r="K131" s="114">
        <f t="shared" si="30"/>
        <v>4000000</v>
      </c>
      <c r="L131" s="114">
        <f t="shared" si="30"/>
        <v>832904.2</v>
      </c>
      <c r="M131" s="115">
        <f>G131+H131+I131+J131+K131+L131</f>
        <v>15347154.199999999</v>
      </c>
      <c r="R131" s="101"/>
    </row>
    <row r="132" spans="1:20" ht="5" customHeight="1" x14ac:dyDescent="0.2">
      <c r="G132" s="81"/>
      <c r="R132" s="94"/>
    </row>
    <row r="133" spans="1:20" x14ac:dyDescent="0.2">
      <c r="F133" s="49" t="s">
        <v>183</v>
      </c>
      <c r="G133" s="95">
        <f ca="1">XIRR(G131:L131,G128:L128)</f>
        <v>6.4500577449798584</v>
      </c>
    </row>
    <row r="134" spans="1:20" x14ac:dyDescent="0.2">
      <c r="F134" s="49" t="s">
        <v>186</v>
      </c>
      <c r="G134" s="117">
        <f ca="1">XNPV(G135,G131:L131,G128:L128)</f>
        <v>10477664.740564369</v>
      </c>
    </row>
    <row r="135" spans="1:20" s="57" customFormat="1" x14ac:dyDescent="0.2">
      <c r="A135"/>
      <c r="B135" s="6" t="s">
        <v>175</v>
      </c>
      <c r="C135" s="18"/>
      <c r="D135" s="18"/>
      <c r="E135" s="18" t="s">
        <v>185</v>
      </c>
      <c r="G135" s="46">
        <v>0.15</v>
      </c>
      <c r="H135" s="17"/>
      <c r="I135" s="17"/>
      <c r="J135" s="17"/>
      <c r="K135" s="17"/>
      <c r="L135" s="17"/>
      <c r="M135" s="17"/>
      <c r="N135" s="17"/>
      <c r="O135" s="100"/>
      <c r="P135" s="115"/>
      <c r="Q135" s="52"/>
      <c r="S135" s="52"/>
      <c r="T135" s="52"/>
    </row>
    <row r="136" spans="1:20" ht="5" customHeight="1" x14ac:dyDescent="0.2">
      <c r="G136" s="81"/>
    </row>
    <row r="137" spans="1:20" ht="19" customHeight="1" x14ac:dyDescent="0.2">
      <c r="B137" s="97"/>
      <c r="C137" s="97" t="s">
        <v>190</v>
      </c>
      <c r="D137" s="51"/>
      <c r="E137" s="51"/>
      <c r="F137" s="51"/>
      <c r="G137" s="51"/>
      <c r="H137" s="51"/>
      <c r="I137" s="51"/>
      <c r="J137" s="51"/>
      <c r="K137" s="51"/>
      <c r="L137" s="51"/>
      <c r="M137" s="51"/>
    </row>
    <row r="138" spans="1:20" ht="5" customHeight="1" x14ac:dyDescent="0.2"/>
    <row r="139" spans="1:20" s="57" customFormat="1" x14ac:dyDescent="0.2">
      <c r="A139"/>
      <c r="B139" s="6"/>
      <c r="C139" s="18"/>
      <c r="D139" s="18"/>
      <c r="E139" s="18"/>
      <c r="F139" s="60" t="s">
        <v>62</v>
      </c>
      <c r="G139" s="133">
        <f t="shared" ref="G139:M139" si="31">G131+G120</f>
        <v>-10468000</v>
      </c>
      <c r="H139" s="133">
        <f t="shared" si="31"/>
        <v>3000000</v>
      </c>
      <c r="I139" s="133">
        <f t="shared" si="31"/>
        <v>4000000</v>
      </c>
      <c r="J139" s="133">
        <f t="shared" si="31"/>
        <v>4000000</v>
      </c>
      <c r="K139" s="133">
        <f t="shared" si="31"/>
        <v>4000000</v>
      </c>
      <c r="L139" s="133">
        <f t="shared" si="31"/>
        <v>10815154.199999999</v>
      </c>
      <c r="M139" s="133">
        <f t="shared" si="31"/>
        <v>15347154.199999999</v>
      </c>
      <c r="N139" s="17"/>
      <c r="O139" s="100"/>
      <c r="P139" s="115"/>
      <c r="Q139" s="52"/>
      <c r="R139" s="52"/>
      <c r="S139" s="52"/>
      <c r="T139" s="52"/>
    </row>
    <row r="140" spans="1:20" x14ac:dyDescent="0.2">
      <c r="F140" s="98" t="str">
        <f>F133</f>
        <v>IRR</v>
      </c>
      <c r="G140" s="99">
        <f ca="1">XIRR(G139:L139,G117:L117)</f>
        <v>0.31377083659172067</v>
      </c>
      <c r="I140" s="133"/>
    </row>
    <row r="141" spans="1:20" x14ac:dyDescent="0.2">
      <c r="F141" s="98" t="str">
        <f>F134</f>
        <v>NPV</v>
      </c>
      <c r="G141" s="134">
        <f ca="1">G123+G134</f>
        <v>5456457.2128051557</v>
      </c>
    </row>
    <row r="142" spans="1:20" s="57" customFormat="1" ht="5" customHeight="1" x14ac:dyDescent="0.2">
      <c r="A142"/>
      <c r="B142" s="6"/>
      <c r="C142" s="18"/>
      <c r="D142" s="18"/>
      <c r="E142" s="18"/>
      <c r="F142" s="18"/>
      <c r="G142" s="17"/>
      <c r="H142" s="17"/>
      <c r="I142" s="17"/>
      <c r="J142" s="17"/>
      <c r="K142" s="17"/>
      <c r="L142" s="17"/>
      <c r="M142" s="17"/>
      <c r="N142" s="17"/>
      <c r="O142" s="100"/>
      <c r="Q142" s="52"/>
      <c r="R142" s="52"/>
      <c r="S142" s="52"/>
      <c r="T142" s="52"/>
    </row>
    <row r="143" spans="1:20" x14ac:dyDescent="0.2">
      <c r="B143" s="6" t="s">
        <v>200</v>
      </c>
      <c r="G143" s="1"/>
      <c r="P143" s="138" t="s">
        <v>209</v>
      </c>
    </row>
    <row r="144" spans="1:20" x14ac:dyDescent="0.2">
      <c r="H144" s="72"/>
      <c r="P144" s="139">
        <f>SUM(P4:P143)</f>
        <v>4.3112857500091195E-2</v>
      </c>
    </row>
    <row r="145" spans="1:16" x14ac:dyDescent="0.2">
      <c r="H145" s="72"/>
    </row>
    <row r="146" spans="1:16" x14ac:dyDescent="0.2">
      <c r="H146" s="147"/>
      <c r="I146" s="148" t="s">
        <v>216</v>
      </c>
      <c r="J146" s="148" t="s">
        <v>217</v>
      </c>
      <c r="K146" s="148" t="s">
        <v>218</v>
      </c>
    </row>
    <row r="147" spans="1:16" x14ac:dyDescent="0.2">
      <c r="H147" s="147" t="s">
        <v>183</v>
      </c>
      <c r="I147" s="145">
        <v>8.1723228096961989E-2</v>
      </c>
      <c r="J147" s="145">
        <v>0.31377083659172067</v>
      </c>
      <c r="K147" s="145">
        <v>0.60544953942298896</v>
      </c>
    </row>
    <row r="148" spans="1:16" x14ac:dyDescent="0.2">
      <c r="H148" s="147" t="s">
        <v>186</v>
      </c>
      <c r="I148" s="119">
        <v>-2026341.5731278318</v>
      </c>
      <c r="J148" s="119">
        <v>5456457.2128051557</v>
      </c>
      <c r="K148" s="119">
        <v>18389042.317754891</v>
      </c>
    </row>
    <row r="149" spans="1:16" x14ac:dyDescent="0.2">
      <c r="H149" s="147" t="s">
        <v>214</v>
      </c>
      <c r="I149" s="146" t="s">
        <v>222</v>
      </c>
      <c r="J149" s="144" t="s">
        <v>220</v>
      </c>
      <c r="K149" s="144" t="s">
        <v>221</v>
      </c>
    </row>
    <row r="150" spans="1:16" x14ac:dyDescent="0.2">
      <c r="H150" s="147" t="s">
        <v>219</v>
      </c>
      <c r="I150" s="119">
        <v>-10468000</v>
      </c>
      <c r="J150" s="119">
        <v>-10468000</v>
      </c>
      <c r="K150" s="119">
        <v>-10468000</v>
      </c>
    </row>
    <row r="151" spans="1:16" x14ac:dyDescent="0.2">
      <c r="H151" s="147" t="s">
        <v>215</v>
      </c>
      <c r="I151" s="119">
        <v>14060364.6</v>
      </c>
      <c r="J151" s="119">
        <v>25815154.199999999</v>
      </c>
      <c r="K151" s="119">
        <v>46361746.5</v>
      </c>
    </row>
    <row r="159" spans="1:16" s="72" customFormat="1" x14ac:dyDescent="0.2">
      <c r="A159"/>
      <c r="B159" s="6"/>
      <c r="C159" s="18"/>
      <c r="D159" s="18"/>
      <c r="E159" s="18"/>
      <c r="F159" s="18"/>
      <c r="G159" s="17"/>
      <c r="H159" s="17"/>
      <c r="I159" s="17"/>
      <c r="J159" s="17"/>
      <c r="K159" s="17"/>
      <c r="L159" s="17"/>
      <c r="M159" s="17"/>
      <c r="N159" s="17"/>
      <c r="O159" s="100"/>
      <c r="P159" s="127"/>
    </row>
    <row r="166" spans="1:20" s="57" customFormat="1" x14ac:dyDescent="0.2">
      <c r="A166"/>
      <c r="B166" s="6"/>
      <c r="C166" s="18"/>
      <c r="D166" s="18"/>
      <c r="E166" s="18"/>
      <c r="F166" s="18"/>
      <c r="G166" s="17"/>
      <c r="H166" s="17"/>
      <c r="I166" s="17"/>
      <c r="J166" s="17"/>
      <c r="K166" s="17"/>
      <c r="L166" s="17"/>
      <c r="M166" s="17"/>
      <c r="N166" s="17"/>
      <c r="O166" s="100"/>
      <c r="P166" s="115"/>
      <c r="Q166" s="52"/>
      <c r="R166" s="52"/>
      <c r="S166" s="52"/>
      <c r="T166" s="52"/>
    </row>
    <row r="167" spans="1:20" s="57" customFormat="1" x14ac:dyDescent="0.2">
      <c r="A167"/>
      <c r="B167" s="6"/>
      <c r="C167" s="18"/>
      <c r="D167" s="18"/>
      <c r="E167" s="18"/>
      <c r="F167" s="18"/>
      <c r="G167" s="17"/>
      <c r="H167" s="17"/>
      <c r="I167" s="17"/>
      <c r="J167" s="17"/>
      <c r="K167" s="17"/>
      <c r="L167" s="17"/>
      <c r="M167" s="17"/>
      <c r="N167" s="17"/>
      <c r="O167" s="100"/>
      <c r="P167" s="115"/>
      <c r="Q167" s="52"/>
      <c r="R167" s="52"/>
      <c r="S167" s="52"/>
      <c r="T167" s="52"/>
    </row>
    <row r="171" spans="1:20" s="57" customFormat="1" x14ac:dyDescent="0.2">
      <c r="A171"/>
      <c r="B171" s="6"/>
      <c r="C171" s="18"/>
      <c r="D171" s="18"/>
      <c r="E171" s="18"/>
      <c r="F171" s="18"/>
      <c r="G171" s="17"/>
      <c r="H171" s="17"/>
      <c r="I171" s="17"/>
      <c r="J171" s="17"/>
      <c r="K171" s="17"/>
      <c r="L171" s="17"/>
      <c r="M171" s="17"/>
      <c r="N171" s="17"/>
      <c r="O171" s="100"/>
      <c r="P171" s="115"/>
      <c r="Q171" s="52"/>
      <c r="R171" s="52"/>
      <c r="S171" s="52"/>
      <c r="T171" s="52"/>
    </row>
    <row r="177" spans="1:20" s="57" customFormat="1" x14ac:dyDescent="0.2">
      <c r="A177"/>
      <c r="B177" s="6"/>
      <c r="C177" s="18"/>
      <c r="D177" s="18"/>
      <c r="E177" s="18"/>
      <c r="F177" s="18"/>
      <c r="G177" s="17"/>
      <c r="H177" s="17"/>
      <c r="I177" s="17"/>
      <c r="J177" s="17"/>
      <c r="K177" s="17"/>
      <c r="L177" s="17"/>
      <c r="M177" s="17"/>
      <c r="N177" s="17"/>
      <c r="O177" s="100"/>
      <c r="P177" s="115"/>
      <c r="Q177" s="52"/>
      <c r="R177" s="52"/>
      <c r="S177" s="52"/>
      <c r="T177" s="52"/>
    </row>
  </sheetData>
  <conditionalFormatting sqref="G112:L112">
    <cfRule type="containsText" dxfId="0" priority="1" operator="containsText" text="O">
      <formula>NOT(ISERROR(SEARCH("O",G112)))</formula>
    </cfRule>
  </conditionalFormatting>
  <dataValidations count="1">
    <dataValidation type="list" allowBlank="1" showInputMessage="1" showErrorMessage="1" sqref="G81" xr:uid="{1A4218E2-82ED-DF43-9EA6-FDE050BF18ED}">
      <formula1>$R$71:$R$73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6A6F7-B0B5-488A-83F0-5EC540B10309}">
  <dimension ref="A1:Y52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sqref="A1:XFD1048576"/>
    </sheetView>
  </sheetViews>
  <sheetFormatPr baseColWidth="10" defaultColWidth="8.83203125" defaultRowHeight="15" x14ac:dyDescent="0.2"/>
  <cols>
    <col min="1" max="1" width="44.1640625" style="16" hidden="1" customWidth="1"/>
    <col min="2" max="2" width="16.33203125" style="17" hidden="1" customWidth="1"/>
    <col min="3" max="3" width="10.1640625" style="18" customWidth="1"/>
    <col min="4" max="4" width="23.1640625" style="18" customWidth="1"/>
    <col min="5" max="5" width="10.1640625" style="18" customWidth="1"/>
    <col min="6" max="6" width="14.1640625" style="17" bestFit="1" customWidth="1"/>
    <col min="7" max="7" width="8.83203125" style="17"/>
    <col min="8" max="8" width="14.1640625" style="17" bestFit="1" customWidth="1"/>
    <col min="9" max="9" width="8.83203125" style="17"/>
    <col min="10" max="10" width="14.33203125" style="17" customWidth="1"/>
    <col min="11" max="11" width="8.83203125" style="17"/>
    <col min="12" max="12" width="14.1640625" style="17" bestFit="1" customWidth="1"/>
    <col min="13" max="13" width="8.83203125" style="17"/>
    <col min="14" max="14" width="14.1640625" style="17" bestFit="1" customWidth="1"/>
    <col min="15" max="15" width="8.83203125" style="17"/>
    <col min="16" max="16" width="12.5" style="17" bestFit="1" customWidth="1"/>
    <col min="17" max="25" width="8.83203125" style="17"/>
    <col min="26" max="16384" width="8.83203125" style="16"/>
  </cols>
  <sheetData>
    <row r="1" spans="1:25" s="15" customFormat="1" ht="16" x14ac:dyDescent="0.2">
      <c r="A1" s="13" t="s">
        <v>13</v>
      </c>
      <c r="B1" s="13"/>
      <c r="C1" s="14"/>
      <c r="D1" s="14"/>
      <c r="E1" s="14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3" spans="1:25" x14ac:dyDescent="0.2">
      <c r="F3" s="143" t="s">
        <v>24</v>
      </c>
      <c r="G3" s="142"/>
      <c r="H3" s="143" t="s">
        <v>26</v>
      </c>
      <c r="I3" s="142"/>
      <c r="J3" s="143" t="s">
        <v>27</v>
      </c>
      <c r="K3" s="142"/>
      <c r="L3" s="143" t="s">
        <v>28</v>
      </c>
      <c r="M3" s="142"/>
      <c r="N3" s="143" t="s">
        <v>29</v>
      </c>
      <c r="O3" s="142"/>
      <c r="P3" s="143" t="s">
        <v>86</v>
      </c>
      <c r="Q3" s="142"/>
      <c r="R3" s="142" t="s">
        <v>25</v>
      </c>
      <c r="S3" s="142"/>
    </row>
    <row r="4" spans="1:25" x14ac:dyDescent="0.2">
      <c r="A4" s="16" t="s">
        <v>2</v>
      </c>
      <c r="B4" s="19">
        <v>297.17</v>
      </c>
      <c r="F4" s="24" t="s">
        <v>30</v>
      </c>
      <c r="G4" s="24" t="s">
        <v>31</v>
      </c>
      <c r="H4" s="24" t="s">
        <v>30</v>
      </c>
      <c r="I4" s="24" t="s">
        <v>31</v>
      </c>
      <c r="J4" s="24" t="s">
        <v>30</v>
      </c>
      <c r="K4" s="24" t="s">
        <v>31</v>
      </c>
      <c r="L4" s="24" t="s">
        <v>30</v>
      </c>
      <c r="M4" s="24" t="s">
        <v>31</v>
      </c>
      <c r="N4" s="24" t="s">
        <v>30</v>
      </c>
      <c r="O4" s="24" t="s">
        <v>31</v>
      </c>
      <c r="P4" s="24" t="s">
        <v>30</v>
      </c>
      <c r="Q4" s="24" t="s">
        <v>31</v>
      </c>
      <c r="R4" s="24" t="s">
        <v>30</v>
      </c>
      <c r="S4" s="24" t="s">
        <v>31</v>
      </c>
    </row>
    <row r="5" spans="1:25" x14ac:dyDescent="0.2">
      <c r="A5" s="16" t="s">
        <v>14</v>
      </c>
      <c r="B5" s="19">
        <v>4</v>
      </c>
      <c r="C5" s="25" t="s">
        <v>62</v>
      </c>
      <c r="D5" s="18" t="s">
        <v>49</v>
      </c>
      <c r="E5" s="18" t="s">
        <v>50</v>
      </c>
      <c r="F5" s="17">
        <f>+B10*B24</f>
        <v>116592</v>
      </c>
      <c r="H5" s="17">
        <v>0</v>
      </c>
      <c r="J5" s="17">
        <f>+H5</f>
        <v>0</v>
      </c>
      <c r="L5" s="17">
        <f>+J5</f>
        <v>0</v>
      </c>
      <c r="N5" s="17">
        <f>+L5</f>
        <v>0</v>
      </c>
      <c r="P5" s="17">
        <f>-F5</f>
        <v>-116592</v>
      </c>
    </row>
    <row r="6" spans="1:25" x14ac:dyDescent="0.2">
      <c r="A6" s="16" t="s">
        <v>15</v>
      </c>
      <c r="B6" s="19">
        <v>156</v>
      </c>
      <c r="C6" s="25"/>
      <c r="D6" s="18" t="s">
        <v>49</v>
      </c>
      <c r="E6" s="18" t="s">
        <v>51</v>
      </c>
      <c r="F6" s="17">
        <f>+B10*B25</f>
        <v>34977.599999999999</v>
      </c>
      <c r="H6" s="17">
        <v>0</v>
      </c>
      <c r="J6" s="17">
        <f t="shared" ref="J6:J12" si="0">+H6</f>
        <v>0</v>
      </c>
      <c r="L6" s="17">
        <f t="shared" ref="L6:L8" si="1">+J6</f>
        <v>0</v>
      </c>
      <c r="N6" s="17">
        <f t="shared" ref="N6:N8" si="2">+L6</f>
        <v>0</v>
      </c>
      <c r="P6" s="17">
        <f t="shared" ref="P6:P7" si="3">-F6</f>
        <v>-34977.599999999999</v>
      </c>
    </row>
    <row r="7" spans="1:25" x14ac:dyDescent="0.2">
      <c r="A7" s="16" t="s">
        <v>16</v>
      </c>
      <c r="B7" s="20">
        <f>+B5*B6</f>
        <v>624</v>
      </c>
      <c r="C7" s="25"/>
      <c r="D7" s="18" t="s">
        <v>49</v>
      </c>
      <c r="E7" s="18" t="s">
        <v>53</v>
      </c>
      <c r="F7" s="19">
        <v>13000</v>
      </c>
      <c r="H7" s="17">
        <v>0</v>
      </c>
      <c r="J7" s="17">
        <f t="shared" si="0"/>
        <v>0</v>
      </c>
      <c r="L7" s="17">
        <f t="shared" si="1"/>
        <v>0</v>
      </c>
      <c r="N7" s="17">
        <f t="shared" si="2"/>
        <v>0</v>
      </c>
      <c r="P7" s="17">
        <f t="shared" si="3"/>
        <v>-13000</v>
      </c>
    </row>
    <row r="8" spans="1:25" x14ac:dyDescent="0.2">
      <c r="A8" s="16" t="s">
        <v>17</v>
      </c>
      <c r="B8" s="21">
        <f>+Assumptions!D6</f>
        <v>1580</v>
      </c>
      <c r="C8" s="25"/>
      <c r="D8" s="18" t="s">
        <v>52</v>
      </c>
      <c r="F8" s="17">
        <f>+B10-F5</f>
        <v>1049328</v>
      </c>
      <c r="H8" s="17">
        <v>0</v>
      </c>
      <c r="J8" s="17">
        <f t="shared" si="0"/>
        <v>0</v>
      </c>
      <c r="L8" s="17">
        <f t="shared" si="1"/>
        <v>0</v>
      </c>
      <c r="N8" s="17">
        <f t="shared" si="2"/>
        <v>0</v>
      </c>
      <c r="P8" s="17">
        <v>0</v>
      </c>
    </row>
    <row r="9" spans="1:25" x14ac:dyDescent="0.2">
      <c r="A9" s="16" t="s">
        <v>18</v>
      </c>
      <c r="B9" s="21">
        <f>+Assumptions!D14</f>
        <v>45000</v>
      </c>
      <c r="C9" s="16"/>
      <c r="D9" s="16" t="s">
        <v>66</v>
      </c>
      <c r="E9" s="16"/>
      <c r="F9" s="16">
        <v>0</v>
      </c>
      <c r="H9" s="17">
        <f>-F8/4</f>
        <v>-262332</v>
      </c>
      <c r="J9" s="17">
        <f t="shared" si="0"/>
        <v>-262332</v>
      </c>
      <c r="L9" s="17">
        <f>+J9</f>
        <v>-262332</v>
      </c>
      <c r="N9" s="17">
        <f>+J9</f>
        <v>-262332</v>
      </c>
      <c r="P9" s="17">
        <v>0</v>
      </c>
    </row>
    <row r="10" spans="1:25" x14ac:dyDescent="0.2">
      <c r="A10" s="16" t="s">
        <v>0</v>
      </c>
      <c r="B10" s="20">
        <f>+B7*B8+B5*B9</f>
        <v>1165920</v>
      </c>
      <c r="C10" s="16"/>
      <c r="D10" s="16" t="s">
        <v>67</v>
      </c>
      <c r="E10" s="16"/>
      <c r="F10" s="16">
        <v>0</v>
      </c>
      <c r="H10" s="17">
        <f>+B27</f>
        <v>770376.07526520186</v>
      </c>
      <c r="J10" s="17">
        <f t="shared" si="0"/>
        <v>770376.07526520186</v>
      </c>
      <c r="L10" s="17">
        <f>+J10</f>
        <v>770376.07526520186</v>
      </c>
      <c r="N10" s="17">
        <f>+L10</f>
        <v>770376.07526520186</v>
      </c>
      <c r="P10" s="17">
        <v>0</v>
      </c>
    </row>
    <row r="11" spans="1:25" x14ac:dyDescent="0.2">
      <c r="A11" s="16" t="s">
        <v>19</v>
      </c>
      <c r="B11" s="21">
        <f>+Assumptions!D8</f>
        <v>1200</v>
      </c>
      <c r="C11" s="25"/>
      <c r="D11" s="18" t="s">
        <v>32</v>
      </c>
      <c r="F11" s="17">
        <f>-B10</f>
        <v>-1165920</v>
      </c>
      <c r="H11" s="17">
        <v>0</v>
      </c>
      <c r="J11" s="17">
        <f t="shared" si="0"/>
        <v>0</v>
      </c>
      <c r="L11" s="17">
        <f>+J11</f>
        <v>0</v>
      </c>
      <c r="N11" s="17">
        <f>+L11</f>
        <v>0</v>
      </c>
      <c r="P11" s="17">
        <v>0</v>
      </c>
    </row>
    <row r="12" spans="1:25" x14ac:dyDescent="0.2">
      <c r="A12" s="16" t="s">
        <v>20</v>
      </c>
      <c r="B12" s="19">
        <v>17</v>
      </c>
      <c r="C12" s="16"/>
      <c r="D12" s="16" t="s">
        <v>79</v>
      </c>
      <c r="E12" s="16"/>
      <c r="F12" s="16">
        <v>0</v>
      </c>
      <c r="G12" s="16"/>
      <c r="H12" s="17">
        <f>-B22+B21</f>
        <v>-428497.64043476805</v>
      </c>
      <c r="J12" s="17">
        <f t="shared" si="0"/>
        <v>-428497.64043476805</v>
      </c>
      <c r="L12" s="17">
        <f>+J12</f>
        <v>-428497.64043476805</v>
      </c>
      <c r="N12" s="17">
        <f>+L12</f>
        <v>-428497.64043476805</v>
      </c>
      <c r="P12" s="17">
        <v>0</v>
      </c>
      <c r="S12" s="17">
        <v>9</v>
      </c>
    </row>
    <row r="13" spans="1:25" x14ac:dyDescent="0.2">
      <c r="A13" s="16" t="s">
        <v>21</v>
      </c>
      <c r="B13" s="23">
        <v>0.98</v>
      </c>
      <c r="C13" s="25"/>
      <c r="D13" s="18" t="s">
        <v>54</v>
      </c>
      <c r="F13" s="17">
        <f>-F8*B28/12*B33</f>
        <v>-6558.2999999999993</v>
      </c>
      <c r="H13" s="17">
        <f>-+(F29+H29)/2*$B$28</f>
        <v>-22954.050000000003</v>
      </c>
      <c r="J13" s="17">
        <f>-+(H29+J29)/2*$B$28</f>
        <v>-16395.75</v>
      </c>
      <c r="L13" s="17">
        <f>-+(J29+L29)/2*$B$28</f>
        <v>-9837.4500000000007</v>
      </c>
      <c r="N13" s="17">
        <f>-+(L29+N29)/2*$B$28</f>
        <v>-3279.15</v>
      </c>
      <c r="P13" s="17">
        <v>0</v>
      </c>
    </row>
    <row r="14" spans="1:25" x14ac:dyDescent="0.2">
      <c r="A14" s="16" t="s">
        <v>35</v>
      </c>
      <c r="B14" s="20">
        <f>+B7*B11*24*365*B13/1000</f>
        <v>6428298.2400000002</v>
      </c>
      <c r="C14" s="25"/>
      <c r="D14" s="18" t="s">
        <v>74</v>
      </c>
      <c r="F14" s="19">
        <v>-5000</v>
      </c>
      <c r="H14" s="19">
        <f>-700*12</f>
        <v>-8400</v>
      </c>
      <c r="J14" s="17">
        <f>+H14</f>
        <v>-8400</v>
      </c>
      <c r="L14" s="17">
        <f>+J14</f>
        <v>-8400</v>
      </c>
      <c r="N14" s="17">
        <f>+L14</f>
        <v>-8400</v>
      </c>
      <c r="P14" s="17">
        <v>0</v>
      </c>
    </row>
    <row r="15" spans="1:25" x14ac:dyDescent="0.2">
      <c r="A15" s="16" t="s">
        <v>36</v>
      </c>
      <c r="B15" s="20">
        <f>+B14*B12</f>
        <v>109281070.08</v>
      </c>
      <c r="C15" s="16"/>
      <c r="D15" s="16" t="s">
        <v>70</v>
      </c>
      <c r="E15" s="16"/>
      <c r="F15" s="16">
        <v>0</v>
      </c>
      <c r="G15" s="16"/>
      <c r="H15" s="16">
        <f>+H40</f>
        <v>-6837.568696608676</v>
      </c>
      <c r="J15" s="16">
        <f>+J40</f>
        <v>-6837.568696608676</v>
      </c>
      <c r="L15" s="16">
        <f>+L40</f>
        <v>-6837.568696608676</v>
      </c>
      <c r="N15" s="16">
        <f>+N40</f>
        <v>-6837.568696608676</v>
      </c>
      <c r="P15" s="17">
        <v>0</v>
      </c>
    </row>
    <row r="16" spans="1:25" x14ac:dyDescent="0.2">
      <c r="A16" s="17" t="s">
        <v>23</v>
      </c>
      <c r="B16" s="21">
        <f>+Assumptions!D12</f>
        <v>5</v>
      </c>
      <c r="C16" s="16"/>
      <c r="D16" s="16" t="s">
        <v>80</v>
      </c>
      <c r="E16" s="16"/>
      <c r="F16" s="16">
        <v>0</v>
      </c>
      <c r="G16" s="16"/>
      <c r="H16" s="16">
        <f>+H42</f>
        <v>-1220.6816133825243</v>
      </c>
      <c r="J16" s="16">
        <f>+J42</f>
        <v>-1876.5116133825247</v>
      </c>
      <c r="L16" s="16">
        <f>+L42</f>
        <v>-2532.3416133825249</v>
      </c>
      <c r="N16" s="16">
        <f>+N42</f>
        <v>-3188.1716133825248</v>
      </c>
      <c r="P16" s="17">
        <v>0</v>
      </c>
    </row>
    <row r="17" spans="1:16" x14ac:dyDescent="0.2">
      <c r="A17" s="17" t="s">
        <v>37</v>
      </c>
      <c r="B17" s="20">
        <f>+B7*B16*12</f>
        <v>37440</v>
      </c>
      <c r="C17" s="16"/>
      <c r="D17" s="16" t="s">
        <v>77</v>
      </c>
      <c r="E17" s="16"/>
      <c r="F17" s="16">
        <v>0</v>
      </c>
      <c r="G17" s="16"/>
      <c r="H17" s="16">
        <f>+H44</f>
        <v>-38000</v>
      </c>
      <c r="J17" s="16">
        <f>+J44</f>
        <v>-57000</v>
      </c>
      <c r="L17" s="16">
        <f>+L44</f>
        <v>-64000</v>
      </c>
      <c r="N17" s="16">
        <f>+N44</f>
        <v>-72032.63</v>
      </c>
      <c r="P17" s="17">
        <v>0</v>
      </c>
    </row>
    <row r="18" spans="1:16" x14ac:dyDescent="0.2">
      <c r="A18" s="17" t="s">
        <v>22</v>
      </c>
      <c r="B18" s="12">
        <f>+Assumptions!D13</f>
        <v>0.02</v>
      </c>
      <c r="C18" s="25"/>
      <c r="D18" s="18" t="s">
        <v>55</v>
      </c>
      <c r="F18" s="17">
        <f>SUM(F5:F17)</f>
        <v>36419.30000000009</v>
      </c>
      <c r="H18" s="17">
        <f>+F18+SUM(H5:H17)</f>
        <v>38553.434520442686</v>
      </c>
      <c r="J18" s="17">
        <f>+H18+SUM(J5:J17)</f>
        <v>27590.039040885291</v>
      </c>
      <c r="L18" s="17">
        <f>+J18+SUM(L5:L17)</f>
        <v>15529.113561327897</v>
      </c>
      <c r="N18" s="17">
        <f>+L18+SUM(N5:N17)</f>
        <v>1338.0280817704988</v>
      </c>
      <c r="O18" s="17">
        <f t="shared" ref="O18:P18" si="4">+M18+SUM(O5:O17)</f>
        <v>0</v>
      </c>
      <c r="P18" s="17">
        <f t="shared" si="4"/>
        <v>-163231.57191822951</v>
      </c>
    </row>
    <row r="19" spans="1:16" x14ac:dyDescent="0.2">
      <c r="A19" s="17" t="s">
        <v>38</v>
      </c>
      <c r="B19" s="20">
        <f>+B10*B18</f>
        <v>23318.400000000001</v>
      </c>
      <c r="C19" s="25"/>
    </row>
    <row r="20" spans="1:16" x14ac:dyDescent="0.2">
      <c r="A20" s="17" t="s">
        <v>1</v>
      </c>
      <c r="B20" s="19">
        <v>4</v>
      </c>
      <c r="C20" s="25" t="s">
        <v>63</v>
      </c>
      <c r="D20" s="18" t="s">
        <v>56</v>
      </c>
      <c r="F20" s="17">
        <f>-F11</f>
        <v>1165920</v>
      </c>
      <c r="H20" s="17">
        <f>+F20</f>
        <v>1165920</v>
      </c>
      <c r="J20" s="17">
        <f>+H20</f>
        <v>1165920</v>
      </c>
      <c r="L20" s="17">
        <f>+J20</f>
        <v>1165920</v>
      </c>
      <c r="N20" s="17">
        <f>+L20</f>
        <v>1165920</v>
      </c>
    </row>
    <row r="21" spans="1:16" x14ac:dyDescent="0.2">
      <c r="A21" s="17" t="s">
        <v>39</v>
      </c>
      <c r="B21" s="20">
        <f>+B10/B20</f>
        <v>291480</v>
      </c>
      <c r="C21" s="25"/>
      <c r="D21" s="18" t="s">
        <v>12</v>
      </c>
      <c r="F21" s="17">
        <v>0</v>
      </c>
      <c r="H21" s="17">
        <f>-B21</f>
        <v>-291480</v>
      </c>
      <c r="J21" s="17">
        <f>+H21*2</f>
        <v>-582960</v>
      </c>
      <c r="L21" s="17">
        <f>+H21*3</f>
        <v>-874440</v>
      </c>
      <c r="N21" s="17">
        <f>+H21*4</f>
        <v>-1165920</v>
      </c>
    </row>
    <row r="22" spans="1:16" x14ac:dyDescent="0.2">
      <c r="A22" s="17" t="s">
        <v>40</v>
      </c>
      <c r="B22" s="20">
        <f>+B15/B4+B17+B19+B21</f>
        <v>719977.64043476805</v>
      </c>
      <c r="C22" s="26"/>
      <c r="D22" s="16" t="s">
        <v>51</v>
      </c>
      <c r="E22" s="16"/>
      <c r="F22" s="16">
        <f>+F6</f>
        <v>34977.599999999999</v>
      </c>
      <c r="H22" s="17">
        <f>+F22</f>
        <v>34977.599999999999</v>
      </c>
      <c r="J22" s="17">
        <f>+H22</f>
        <v>34977.599999999999</v>
      </c>
      <c r="L22" s="17">
        <f>+J22</f>
        <v>34977.599999999999</v>
      </c>
      <c r="N22" s="17">
        <v>0</v>
      </c>
    </row>
    <row r="23" spans="1:16" x14ac:dyDescent="0.2">
      <c r="C23" s="26"/>
      <c r="D23" s="22" t="s">
        <v>57</v>
      </c>
      <c r="E23" s="22"/>
      <c r="F23" s="17">
        <f>+F18-F6</f>
        <v>1441.7000000000917</v>
      </c>
      <c r="H23" s="17">
        <f>+H18-$F$6</f>
        <v>3575.8345204426878</v>
      </c>
      <c r="J23" s="17">
        <f>+J18-$F$6</f>
        <v>-7387.5609591147077</v>
      </c>
      <c r="L23" s="17">
        <f>+L18-$F$6</f>
        <v>-19448.486438672102</v>
      </c>
      <c r="N23" s="17">
        <f>+N18</f>
        <v>1338.0280817704988</v>
      </c>
    </row>
    <row r="24" spans="1:16" x14ac:dyDescent="0.2">
      <c r="A24" s="16" t="s">
        <v>33</v>
      </c>
      <c r="B24" s="23">
        <v>0.1</v>
      </c>
      <c r="C24" s="25"/>
      <c r="D24" s="22" t="s">
        <v>58</v>
      </c>
      <c r="E24" s="22"/>
      <c r="F24" s="17">
        <f>SUM(F20:F23)</f>
        <v>1202339.3000000003</v>
      </c>
      <c r="G24" s="17">
        <f t="shared" ref="G24:N24" si="5">SUM(G20:G23)</f>
        <v>0</v>
      </c>
      <c r="H24" s="17">
        <f t="shared" si="5"/>
        <v>912993.43452044262</v>
      </c>
      <c r="I24" s="17">
        <f t="shared" si="5"/>
        <v>0</v>
      </c>
      <c r="J24" s="17">
        <f t="shared" si="5"/>
        <v>610550.03904088528</v>
      </c>
      <c r="K24" s="17">
        <f t="shared" si="5"/>
        <v>0</v>
      </c>
      <c r="L24" s="17">
        <f t="shared" si="5"/>
        <v>307009.11356132786</v>
      </c>
      <c r="M24" s="17">
        <f t="shared" si="5"/>
        <v>0</v>
      </c>
      <c r="N24" s="17">
        <f t="shared" si="5"/>
        <v>1338.0280817704988</v>
      </c>
    </row>
    <row r="25" spans="1:16" x14ac:dyDescent="0.2">
      <c r="A25" s="16" t="s">
        <v>34</v>
      </c>
      <c r="B25" s="23">
        <v>0.03</v>
      </c>
      <c r="C25" s="25"/>
    </row>
    <row r="26" spans="1:16" x14ac:dyDescent="0.2">
      <c r="A26" s="16" t="s">
        <v>41</v>
      </c>
      <c r="B26" s="23">
        <v>1.07</v>
      </c>
      <c r="C26" s="25"/>
      <c r="D26" s="18" t="s">
        <v>49</v>
      </c>
      <c r="F26" s="17">
        <f>+F5+F6+F7</f>
        <v>164569.60000000001</v>
      </c>
      <c r="H26" s="17">
        <f>+F26</f>
        <v>164569.60000000001</v>
      </c>
      <c r="J26" s="17">
        <f>+F26</f>
        <v>164569.60000000001</v>
      </c>
      <c r="L26" s="17">
        <f>+F26</f>
        <v>164569.60000000001</v>
      </c>
      <c r="N26" s="17">
        <f>+F26</f>
        <v>164569.60000000001</v>
      </c>
    </row>
    <row r="27" spans="1:16" x14ac:dyDescent="0.2">
      <c r="A27" s="16" t="s">
        <v>42</v>
      </c>
      <c r="B27" s="20">
        <f>+B22*B26</f>
        <v>770376.07526520186</v>
      </c>
      <c r="C27" s="25"/>
      <c r="D27" s="18" t="s">
        <v>59</v>
      </c>
      <c r="F27" s="17">
        <v>0</v>
      </c>
      <c r="H27" s="17">
        <f>F28</f>
        <v>-11558.3</v>
      </c>
      <c r="J27" s="17">
        <f>+H27+H28</f>
        <v>-38572.165479557283</v>
      </c>
      <c r="L27" s="17">
        <f>+J27+J28</f>
        <v>-78683.560959114562</v>
      </c>
      <c r="N27" s="17">
        <f>+L27+L28</f>
        <v>-119892.48643867184</v>
      </c>
    </row>
    <row r="28" spans="1:16" x14ac:dyDescent="0.2">
      <c r="A28" s="16" t="s">
        <v>43</v>
      </c>
      <c r="B28" s="23">
        <v>2.5000000000000001E-2</v>
      </c>
      <c r="C28" s="25"/>
      <c r="D28" s="18" t="s">
        <v>60</v>
      </c>
      <c r="F28" s="17">
        <f>+F13+F14</f>
        <v>-11558.3</v>
      </c>
      <c r="H28" s="17">
        <f>+H45</f>
        <v>-27013.86547955728</v>
      </c>
      <c r="J28" s="17">
        <f>+J45</f>
        <v>-40111.395479557279</v>
      </c>
      <c r="L28" s="17">
        <f>+L45</f>
        <v>-41208.925479557278</v>
      </c>
      <c r="N28" s="17">
        <f>+N45</f>
        <v>-43339.085479557281</v>
      </c>
    </row>
    <row r="29" spans="1:16" x14ac:dyDescent="0.2">
      <c r="A29" s="16" t="s">
        <v>44</v>
      </c>
      <c r="B29" s="23">
        <v>0.02</v>
      </c>
      <c r="C29" s="25"/>
      <c r="D29" s="18" t="s">
        <v>52</v>
      </c>
      <c r="F29" s="17">
        <f>+F8</f>
        <v>1049328</v>
      </c>
      <c r="H29" s="17">
        <f>+F29+H9</f>
        <v>786996</v>
      </c>
      <c r="J29" s="17">
        <f>+H29+J9</f>
        <v>524664</v>
      </c>
      <c r="L29" s="17">
        <f>+J29+L9</f>
        <v>262332</v>
      </c>
      <c r="N29" s="17">
        <f>+L29+N9</f>
        <v>0</v>
      </c>
    </row>
    <row r="30" spans="1:16" x14ac:dyDescent="0.2">
      <c r="A30" s="16" t="s">
        <v>45</v>
      </c>
      <c r="B30" s="20">
        <f>+B27-B22+B21</f>
        <v>341878.43483043381</v>
      </c>
      <c r="C30" s="25"/>
      <c r="D30" s="18" t="s">
        <v>61</v>
      </c>
      <c r="F30" s="17">
        <f>SUM(F26:F29)</f>
        <v>1202339.3</v>
      </c>
      <c r="G30" s="17">
        <f t="shared" ref="G30:N30" si="6">SUM(G26:G29)</f>
        <v>0</v>
      </c>
      <c r="H30" s="17">
        <f t="shared" si="6"/>
        <v>912993.43452044274</v>
      </c>
      <c r="I30" s="17">
        <f t="shared" si="6"/>
        <v>0</v>
      </c>
      <c r="J30" s="17">
        <f t="shared" si="6"/>
        <v>610550.0390408854</v>
      </c>
      <c r="K30" s="17">
        <f t="shared" si="6"/>
        <v>0</v>
      </c>
      <c r="L30" s="17">
        <f t="shared" si="6"/>
        <v>307009.11356132815</v>
      </c>
      <c r="M30" s="17">
        <f t="shared" si="6"/>
        <v>0</v>
      </c>
      <c r="N30" s="17">
        <f t="shared" si="6"/>
        <v>1338.0280817708845</v>
      </c>
    </row>
    <row r="31" spans="1:16" x14ac:dyDescent="0.2">
      <c r="A31" s="16" t="s">
        <v>46</v>
      </c>
      <c r="B31" s="20">
        <f>+B30*B29</f>
        <v>6837.568696608676</v>
      </c>
      <c r="C31" s="16"/>
    </row>
    <row r="32" spans="1:16" x14ac:dyDescent="0.2">
      <c r="A32" s="16" t="s">
        <v>47</v>
      </c>
      <c r="B32" s="23">
        <v>0.1</v>
      </c>
      <c r="C32" s="25" t="s">
        <v>64</v>
      </c>
      <c r="D32" s="18" t="s">
        <v>65</v>
      </c>
      <c r="F32" s="17">
        <v>0</v>
      </c>
      <c r="H32" s="17">
        <f>+H10</f>
        <v>770376.07526520186</v>
      </c>
      <c r="J32" s="17">
        <f>+J10</f>
        <v>770376.07526520186</v>
      </c>
      <c r="L32" s="17">
        <f>+L10</f>
        <v>770376.07526520186</v>
      </c>
      <c r="N32" s="17">
        <f>+N10</f>
        <v>770376.07526520186</v>
      </c>
    </row>
    <row r="33" spans="1:14" x14ac:dyDescent="0.2">
      <c r="A33" s="16" t="s">
        <v>48</v>
      </c>
      <c r="B33" s="19">
        <v>3</v>
      </c>
      <c r="D33" s="16" t="s">
        <v>12</v>
      </c>
      <c r="F33" s="17">
        <v>0</v>
      </c>
      <c r="H33" s="17">
        <f>-$B$21</f>
        <v>-291480</v>
      </c>
      <c r="J33" s="17">
        <f>-$B$21</f>
        <v>-291480</v>
      </c>
      <c r="L33" s="17">
        <f>-$B$21</f>
        <v>-291480</v>
      </c>
      <c r="N33" s="17">
        <f>-$B$21</f>
        <v>-291480</v>
      </c>
    </row>
    <row r="34" spans="1:14" x14ac:dyDescent="0.2">
      <c r="D34" s="18" t="s">
        <v>68</v>
      </c>
      <c r="F34" s="17">
        <v>0</v>
      </c>
      <c r="H34" s="17">
        <f>-$B$15/$B$4</f>
        <v>-367739.24043476797</v>
      </c>
      <c r="J34" s="17">
        <f>-$B$15/$B$4</f>
        <v>-367739.24043476797</v>
      </c>
      <c r="L34" s="17">
        <f>-$B$15/$B$4</f>
        <v>-367739.24043476797</v>
      </c>
      <c r="N34" s="17">
        <f>-$B$15/$B$4</f>
        <v>-367739.24043476797</v>
      </c>
    </row>
    <row r="35" spans="1:14" x14ac:dyDescent="0.2">
      <c r="A35" s="16" t="s">
        <v>84</v>
      </c>
      <c r="B35" s="23">
        <v>0.05</v>
      </c>
      <c r="D35" s="18" t="s">
        <v>3</v>
      </c>
      <c r="F35" s="17">
        <v>0</v>
      </c>
      <c r="H35" s="17">
        <f>-$B$17</f>
        <v>-37440</v>
      </c>
      <c r="J35" s="17">
        <f>-$B$17</f>
        <v>-37440</v>
      </c>
      <c r="L35" s="17">
        <f>-$B$17</f>
        <v>-37440</v>
      </c>
      <c r="N35" s="17">
        <f>-$B$17</f>
        <v>-37440</v>
      </c>
    </row>
    <row r="36" spans="1:14" x14ac:dyDescent="0.2">
      <c r="D36" s="18" t="s">
        <v>4</v>
      </c>
      <c r="F36" s="17">
        <v>0</v>
      </c>
      <c r="H36" s="17">
        <f>-$B$19</f>
        <v>-23318.400000000001</v>
      </c>
      <c r="J36" s="17">
        <f>-$B$19</f>
        <v>-23318.400000000001</v>
      </c>
      <c r="L36" s="17">
        <f>-$B$19</f>
        <v>-23318.400000000001</v>
      </c>
      <c r="N36" s="17">
        <f>-$B$19</f>
        <v>-23318.400000000001</v>
      </c>
    </row>
    <row r="37" spans="1:14" x14ac:dyDescent="0.2">
      <c r="D37" s="18" t="s">
        <v>69</v>
      </c>
      <c r="F37" s="17">
        <f>SUM(F33:F36)</f>
        <v>0</v>
      </c>
      <c r="G37" s="17">
        <f t="shared" ref="G37:N37" si="7">SUM(G33:G36)</f>
        <v>0</v>
      </c>
      <c r="H37" s="17">
        <f t="shared" si="7"/>
        <v>-719977.64043476793</v>
      </c>
      <c r="J37" s="17">
        <f t="shared" si="7"/>
        <v>-719977.64043476793</v>
      </c>
      <c r="L37" s="17">
        <f t="shared" si="7"/>
        <v>-719977.64043476793</v>
      </c>
      <c r="N37" s="17">
        <f t="shared" si="7"/>
        <v>-719977.64043476793</v>
      </c>
    </row>
    <row r="38" spans="1:14" x14ac:dyDescent="0.2">
      <c r="D38" s="18" t="s">
        <v>54</v>
      </c>
      <c r="F38" s="17">
        <f>+F13</f>
        <v>-6558.2999999999993</v>
      </c>
      <c r="H38" s="17">
        <f>+H13</f>
        <v>-22954.050000000003</v>
      </c>
      <c r="J38" s="17">
        <f>+J13</f>
        <v>-16395.75</v>
      </c>
      <c r="L38" s="17">
        <f>+L13</f>
        <v>-9837.4500000000007</v>
      </c>
      <c r="N38" s="17">
        <f>+N13</f>
        <v>-3279.15</v>
      </c>
    </row>
    <row r="39" spans="1:14" x14ac:dyDescent="0.2">
      <c r="D39" s="18" t="s">
        <v>75</v>
      </c>
      <c r="F39" s="17">
        <f>+F14</f>
        <v>-5000</v>
      </c>
      <c r="H39" s="17">
        <f>+H14</f>
        <v>-8400</v>
      </c>
      <c r="J39" s="17">
        <f>+J14</f>
        <v>-8400</v>
      </c>
      <c r="L39" s="17">
        <f>+L14</f>
        <v>-8400</v>
      </c>
      <c r="N39" s="17">
        <f>+N14</f>
        <v>-8400</v>
      </c>
    </row>
    <row r="40" spans="1:14" x14ac:dyDescent="0.2">
      <c r="D40" s="18" t="s">
        <v>70</v>
      </c>
      <c r="F40" s="17">
        <v>0</v>
      </c>
      <c r="H40" s="17">
        <f>-$B$31</f>
        <v>-6837.568696608676</v>
      </c>
      <c r="J40" s="17">
        <f>-$B$31</f>
        <v>-6837.568696608676</v>
      </c>
      <c r="L40" s="17">
        <f>-$B$31</f>
        <v>-6837.568696608676</v>
      </c>
      <c r="N40" s="17">
        <f>-$B$31</f>
        <v>-6837.568696608676</v>
      </c>
    </row>
    <row r="41" spans="1:14" x14ac:dyDescent="0.2">
      <c r="D41" s="18" t="s">
        <v>71</v>
      </c>
      <c r="F41" s="17">
        <f>+F38+F39</f>
        <v>-11558.3</v>
      </c>
      <c r="H41" s="17">
        <f>+H32+H37+H38+H39+H40</f>
        <v>12206.816133825243</v>
      </c>
      <c r="J41" s="17">
        <f>+J32+J37+J38+J39+J40</f>
        <v>18765.116133825246</v>
      </c>
      <c r="L41" s="17">
        <f>+L32+L37+L38+L39+L40</f>
        <v>25323.416133825249</v>
      </c>
      <c r="N41" s="17">
        <f>+N32+N37+N38+N39+N40</f>
        <v>31881.716133825244</v>
      </c>
    </row>
    <row r="42" spans="1:14" x14ac:dyDescent="0.2">
      <c r="D42" s="18" t="s">
        <v>72</v>
      </c>
      <c r="F42" s="17">
        <v>0</v>
      </c>
      <c r="H42" s="17">
        <f>-H41*$B$32</f>
        <v>-1220.6816133825243</v>
      </c>
      <c r="J42" s="17">
        <f>-J41*$B$32</f>
        <v>-1876.5116133825247</v>
      </c>
      <c r="L42" s="17">
        <f>-L41*$B$32</f>
        <v>-2532.3416133825249</v>
      </c>
      <c r="N42" s="17">
        <f>-N41*$B$32</f>
        <v>-3188.1716133825248</v>
      </c>
    </row>
    <row r="43" spans="1:14" x14ac:dyDescent="0.2">
      <c r="D43" s="18" t="s">
        <v>76</v>
      </c>
      <c r="F43" s="17">
        <f>+F41</f>
        <v>-11558.3</v>
      </c>
      <c r="H43" s="17">
        <f>+H41+H42</f>
        <v>10986.134520442718</v>
      </c>
      <c r="J43" s="17">
        <f>+J41+J42</f>
        <v>16888.604520442721</v>
      </c>
      <c r="L43" s="17">
        <f>+L41+L42</f>
        <v>22791.074520442722</v>
      </c>
      <c r="N43" s="17">
        <f>+N41+N42</f>
        <v>28693.54452044272</v>
      </c>
    </row>
    <row r="44" spans="1:14" x14ac:dyDescent="0.2">
      <c r="D44" s="18" t="s">
        <v>77</v>
      </c>
      <c r="F44" s="17">
        <v>0</v>
      </c>
      <c r="H44" s="19">
        <v>-38000</v>
      </c>
      <c r="J44" s="19">
        <v>-57000</v>
      </c>
      <c r="L44" s="19">
        <v>-64000</v>
      </c>
      <c r="N44" s="19">
        <f>-71326.64-705.99</f>
        <v>-72032.63</v>
      </c>
    </row>
    <row r="45" spans="1:14" x14ac:dyDescent="0.2">
      <c r="D45" s="18" t="s">
        <v>78</v>
      </c>
      <c r="F45" s="17">
        <f>+F43</f>
        <v>-11558.3</v>
      </c>
      <c r="H45" s="17">
        <f>+H43+H44</f>
        <v>-27013.86547955728</v>
      </c>
      <c r="J45" s="17">
        <f>+J43+J44</f>
        <v>-40111.395479557279</v>
      </c>
      <c r="L45" s="17">
        <f>+L43+L44</f>
        <v>-41208.925479557278</v>
      </c>
      <c r="N45" s="17">
        <f>+N43+N44</f>
        <v>-43339.085479557281</v>
      </c>
    </row>
    <row r="47" spans="1:14" x14ac:dyDescent="0.2">
      <c r="C47" s="18" t="s">
        <v>81</v>
      </c>
      <c r="D47" s="18" t="s">
        <v>82</v>
      </c>
      <c r="H47" s="17" t="e">
        <f>+Assumptions!#REF!</f>
        <v>#REF!</v>
      </c>
      <c r="J47" s="17" t="e">
        <f>+Assumptions!#REF!</f>
        <v>#REF!</v>
      </c>
      <c r="L47" s="17" t="e">
        <f>+Assumptions!#REF!</f>
        <v>#REF!</v>
      </c>
      <c r="N47" s="17" t="e">
        <f>+Assumptions!#REF!</f>
        <v>#REF!</v>
      </c>
    </row>
    <row r="48" spans="1:14" x14ac:dyDescent="0.2">
      <c r="D48" s="18" t="s">
        <v>83</v>
      </c>
      <c r="H48" s="17" t="e">
        <f>+Assumptions!#REF!</f>
        <v>#REF!</v>
      </c>
      <c r="J48" s="17" t="e">
        <f>+Assumptions!#REF!</f>
        <v>#REF!</v>
      </c>
      <c r="L48" s="17" t="e">
        <f>+Assumptions!#REF!</f>
        <v>#REF!</v>
      </c>
      <c r="N48" s="17" t="e">
        <f>+Assumptions!#REF!</f>
        <v>#REF!</v>
      </c>
    </row>
    <row r="49" spans="4:14" x14ac:dyDescent="0.2">
      <c r="D49" s="18" t="s">
        <v>11</v>
      </c>
      <c r="H49" s="17" t="e">
        <f>+H47*H48</f>
        <v>#REF!</v>
      </c>
      <c r="J49" s="17" t="e">
        <f t="shared" ref="J49:N49" si="8">+J47*J48</f>
        <v>#REF!</v>
      </c>
      <c r="L49" s="17" t="e">
        <f t="shared" si="8"/>
        <v>#REF!</v>
      </c>
      <c r="N49" s="17" t="e">
        <f t="shared" si="8"/>
        <v>#REF!</v>
      </c>
    </row>
    <row r="50" spans="4:14" x14ac:dyDescent="0.2">
      <c r="D50" s="18" t="s">
        <v>73</v>
      </c>
      <c r="H50" s="17" t="e">
        <f>-H49*$B$35</f>
        <v>#REF!</v>
      </c>
      <c r="J50" s="17" t="e">
        <f t="shared" ref="J50:N50" si="9">-J49*$B$35</f>
        <v>#REF!</v>
      </c>
      <c r="L50" s="17" t="e">
        <f t="shared" si="9"/>
        <v>#REF!</v>
      </c>
      <c r="N50" s="17" t="e">
        <f t="shared" si="9"/>
        <v>#REF!</v>
      </c>
    </row>
    <row r="51" spans="4:14" x14ac:dyDescent="0.2">
      <c r="D51" s="18" t="s">
        <v>65</v>
      </c>
      <c r="H51" s="17">
        <f>-$B$27</f>
        <v>-770376.07526520186</v>
      </c>
      <c r="J51" s="17">
        <f t="shared" ref="J51:N51" si="10">-$B$27</f>
        <v>-770376.07526520186</v>
      </c>
      <c r="L51" s="17">
        <f t="shared" si="10"/>
        <v>-770376.07526520186</v>
      </c>
      <c r="N51" s="17">
        <f t="shared" si="10"/>
        <v>-770376.07526520186</v>
      </c>
    </row>
    <row r="52" spans="4:14" x14ac:dyDescent="0.2">
      <c r="D52" s="18" t="s">
        <v>85</v>
      </c>
      <c r="H52" s="17" t="e">
        <f>SUM(H49:H51)</f>
        <v>#REF!</v>
      </c>
      <c r="J52" s="17" t="e">
        <f t="shared" ref="J52:N52" si="11">SUM(J49:J51)</f>
        <v>#REF!</v>
      </c>
      <c r="L52" s="17" t="e">
        <f t="shared" si="11"/>
        <v>#REF!</v>
      </c>
      <c r="N52" s="17" t="e">
        <f t="shared" si="11"/>
        <v>#REF!</v>
      </c>
    </row>
  </sheetData>
  <mergeCells count="7">
    <mergeCell ref="R3:S3"/>
    <mergeCell ref="F3:G3"/>
    <mergeCell ref="H3:I3"/>
    <mergeCell ref="J3:K3"/>
    <mergeCell ref="L3:M3"/>
    <mergeCell ref="N3:O3"/>
    <mergeCell ref="P3:Q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Assumptions</vt:lpstr>
      <vt:lpstr>Model</vt:lpstr>
      <vt:lpstr>Önerős (2)</vt:lpstr>
      <vt:lpstr>infl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Rethy Imre</dc:creator>
  <cp:lastModifiedBy>Daniel Dunai</cp:lastModifiedBy>
  <cp:lastPrinted>2020-08-17T08:40:47Z</cp:lastPrinted>
  <dcterms:created xsi:type="dcterms:W3CDTF">2020-06-04T12:01:50Z</dcterms:created>
  <dcterms:modified xsi:type="dcterms:W3CDTF">2020-09-08T14:25:55Z</dcterms:modified>
</cp:coreProperties>
</file>