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WorkingFPY/Enerhash/Github/Trading business model, valuation, LBO/"/>
    </mc:Choice>
  </mc:AlternateContent>
  <xr:revisionPtr revIDLastSave="0" documentId="13_ncr:1_{EE309D69-3252-5144-BA00-356E4A6B45DA}" xr6:coauthVersionLast="45" xr6:coauthVersionMax="45" xr10:uidLastSave="{00000000-0000-0000-0000-000000000000}"/>
  <bookViews>
    <workbookView xWindow="40" yWindow="460" windowWidth="28760" windowHeight="16520" xr2:uid="{9768E044-263F-454C-A79F-3CADF8D33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K58" i="1" l="1"/>
  <c r="F160" i="1"/>
  <c r="K145" i="1"/>
  <c r="L145" i="1"/>
  <c r="M145" i="1" s="1"/>
  <c r="N145" i="1" s="1"/>
  <c r="P72" i="1"/>
  <c r="O72" i="1"/>
  <c r="N72" i="1"/>
  <c r="M72" i="1"/>
  <c r="L72" i="1"/>
  <c r="K72" i="1"/>
  <c r="J180" i="1"/>
  <c r="J172" i="1"/>
  <c r="J164" i="1"/>
  <c r="O207" i="1"/>
  <c r="N207" i="1"/>
  <c r="M207" i="1"/>
  <c r="L207" i="1"/>
  <c r="K207" i="1"/>
  <c r="K203" i="1"/>
  <c r="J207" i="1"/>
  <c r="J203" i="1"/>
  <c r="J199" i="1"/>
  <c r="K199" i="1"/>
  <c r="D35" i="1" l="1"/>
  <c r="R36" i="1"/>
  <c r="P11" i="1"/>
  <c r="O11" i="1"/>
  <c r="N11" i="1"/>
  <c r="M11" i="1"/>
  <c r="L11" i="1"/>
  <c r="K11" i="1"/>
  <c r="M58" i="1" l="1"/>
  <c r="N58" i="1"/>
  <c r="O58" i="1"/>
  <c r="P58" i="1"/>
  <c r="L58" i="1"/>
  <c r="J190" i="1"/>
  <c r="K156" i="1" l="1"/>
  <c r="K197" i="1" s="1"/>
  <c r="D162" i="1"/>
  <c r="K189" i="1" l="1"/>
  <c r="K116" i="1"/>
  <c r="L115" i="1"/>
  <c r="L116" i="1" s="1"/>
  <c r="F34" i="1"/>
  <c r="P110" i="1"/>
  <c r="K33" i="1"/>
  <c r="K50" i="1"/>
  <c r="K51" i="1" s="1"/>
  <c r="K16" i="1" s="1"/>
  <c r="P31" i="1"/>
  <c r="P111" i="1" s="1"/>
  <c r="O31" i="1"/>
  <c r="O111" i="1" s="1"/>
  <c r="N31" i="1"/>
  <c r="N111" i="1" s="1"/>
  <c r="M31" i="1"/>
  <c r="M111" i="1" s="1"/>
  <c r="L31" i="1"/>
  <c r="L111" i="1" s="1"/>
  <c r="K30" i="1"/>
  <c r="K31" i="1" s="1"/>
  <c r="K111" i="1" s="1"/>
  <c r="P23" i="1"/>
  <c r="K62" i="1"/>
  <c r="L62" i="1" s="1"/>
  <c r="M62" i="1" s="1"/>
  <c r="F49" i="1"/>
  <c r="F42" i="1"/>
  <c r="F39" i="1"/>
  <c r="F38" i="1"/>
  <c r="J22" i="1"/>
  <c r="K146" i="1" l="1"/>
  <c r="K148" i="1" s="1"/>
  <c r="K149" i="1" s="1"/>
  <c r="L156" i="1"/>
  <c r="L50" i="1"/>
  <c r="M50" i="1" s="1"/>
  <c r="N50" i="1" s="1"/>
  <c r="O50" i="1" s="1"/>
  <c r="M115" i="1"/>
  <c r="M116" i="1" s="1"/>
  <c r="K52" i="1"/>
  <c r="N62" i="1"/>
  <c r="L51" i="1"/>
  <c r="M51" i="1" s="1"/>
  <c r="N51" i="1" s="1"/>
  <c r="O51" i="1" s="1"/>
  <c r="L189" i="1" l="1"/>
  <c r="L197" i="1"/>
  <c r="O52" i="1"/>
  <c r="M156" i="1"/>
  <c r="N115" i="1"/>
  <c r="O115" i="1" s="1"/>
  <c r="L16" i="1"/>
  <c r="L110" i="1" s="1"/>
  <c r="K110" i="1"/>
  <c r="K23" i="1"/>
  <c r="O62" i="1"/>
  <c r="L52" i="1"/>
  <c r="L23" i="1" l="1"/>
  <c r="M189" i="1"/>
  <c r="M197" i="1"/>
  <c r="M16" i="1"/>
  <c r="M110" i="1" s="1"/>
  <c r="O145" i="1"/>
  <c r="N156" i="1"/>
  <c r="N116" i="1"/>
  <c r="P115" i="1"/>
  <c r="P116" i="1" s="1"/>
  <c r="O116" i="1"/>
  <c r="P62" i="1"/>
  <c r="M52" i="1"/>
  <c r="M23" i="1" l="1"/>
  <c r="N16" i="1"/>
  <c r="N110" i="1" s="1"/>
  <c r="N189" i="1"/>
  <c r="N197" i="1"/>
  <c r="P145" i="1"/>
  <c r="P156" i="1" s="1"/>
  <c r="O156" i="1"/>
  <c r="O16" i="1"/>
  <c r="N23" i="1"/>
  <c r="N52" i="1"/>
  <c r="O189" i="1" l="1"/>
  <c r="O197" i="1"/>
  <c r="P189" i="1"/>
  <c r="P197" i="1"/>
  <c r="O23" i="1"/>
  <c r="O110" i="1"/>
  <c r="F21" i="1" l="1"/>
  <c r="F22" i="1" s="1"/>
  <c r="F20" i="1"/>
  <c r="F15" i="1"/>
  <c r="P14" i="1" l="1"/>
  <c r="N14" i="1"/>
  <c r="O14" i="1"/>
  <c r="M14" i="1"/>
  <c r="K14" i="1"/>
  <c r="L14" i="1"/>
  <c r="F7" i="1"/>
  <c r="F6" i="1"/>
  <c r="F9" i="1"/>
  <c r="D8" i="1"/>
  <c r="F29" i="1" s="1"/>
  <c r="O12" i="1" l="1"/>
  <c r="N12" i="1"/>
  <c r="M12" i="1"/>
  <c r="L12" i="1"/>
  <c r="P12" i="1"/>
  <c r="K12" i="1"/>
  <c r="D11" i="1"/>
  <c r="D13" i="1" s="1"/>
  <c r="K34" i="1" s="1"/>
  <c r="K38" i="1" s="1"/>
  <c r="F8" i="1"/>
  <c r="P56" i="1" l="1"/>
  <c r="P47" i="1"/>
  <c r="L47" i="1"/>
  <c r="L56" i="1"/>
  <c r="M56" i="1"/>
  <c r="M47" i="1"/>
  <c r="O56" i="1"/>
  <c r="O47" i="1"/>
  <c r="N56" i="1"/>
  <c r="N47" i="1"/>
  <c r="K56" i="1"/>
  <c r="D60" i="1" s="1"/>
  <c r="K47" i="1"/>
  <c r="D59" i="1" s="1"/>
  <c r="F13" i="1"/>
  <c r="D16" i="1"/>
  <c r="F12" i="1"/>
  <c r="F11" i="1"/>
  <c r="D28" i="1" l="1"/>
  <c r="K17" i="1" s="1"/>
  <c r="F28" i="1"/>
  <c r="K15" i="1"/>
  <c r="P15" i="1"/>
  <c r="O15" i="1"/>
  <c r="L15" i="1"/>
  <c r="N15" i="1"/>
  <c r="M15" i="1"/>
  <c r="D17" i="1"/>
  <c r="F17" i="1" s="1"/>
  <c r="K25" i="1"/>
  <c r="L25" i="1"/>
  <c r="K26" i="1"/>
  <c r="F16" i="1"/>
  <c r="F14" i="1" s="1"/>
  <c r="N17" i="1" l="1"/>
  <c r="L17" i="1"/>
  <c r="P17" i="1"/>
  <c r="O17" i="1"/>
  <c r="M17" i="1"/>
  <c r="P10" i="1"/>
  <c r="P46" i="1" s="1"/>
  <c r="O10" i="1"/>
  <c r="O46" i="1" s="1"/>
  <c r="N10" i="1"/>
  <c r="N46" i="1" s="1"/>
  <c r="M10" i="1"/>
  <c r="M46" i="1" s="1"/>
  <c r="L10" i="1"/>
  <c r="L46" i="1" s="1"/>
  <c r="K10" i="1"/>
  <c r="L26" i="1"/>
  <c r="M25" i="1"/>
  <c r="P73" i="1" l="1" a="1"/>
  <c r="P73" i="1" s="1"/>
  <c r="L13" i="1"/>
  <c r="L104" i="1" s="1"/>
  <c r="L105" i="1" s="1"/>
  <c r="L109" i="1" s="1"/>
  <c r="L73" i="1" a="1"/>
  <c r="L73" i="1" s="1"/>
  <c r="M73" i="1" a="1"/>
  <c r="M73" i="1" s="1"/>
  <c r="O73" i="1" a="1"/>
  <c r="O73" i="1" s="1"/>
  <c r="N73" i="1" a="1"/>
  <c r="N73" i="1" s="1"/>
  <c r="M24" i="1"/>
  <c r="K13" i="1"/>
  <c r="K46" i="1"/>
  <c r="D58" i="1" s="1"/>
  <c r="M26" i="1"/>
  <c r="L18" i="1"/>
  <c r="L19" i="1" s="1"/>
  <c r="M13" i="1"/>
  <c r="M104" i="1" s="1"/>
  <c r="L91" i="1" l="1"/>
  <c r="L90" i="1"/>
  <c r="L99" i="1"/>
  <c r="M90" i="1"/>
  <c r="L82" i="1"/>
  <c r="M74" i="1"/>
  <c r="M80" i="1"/>
  <c r="M81" i="1"/>
  <c r="L80" i="1"/>
  <c r="L81" i="1"/>
  <c r="K24" i="1"/>
  <c r="K104" i="1"/>
  <c r="L74" i="1" s="1"/>
  <c r="K18" i="1"/>
  <c r="N25" i="1"/>
  <c r="L24" i="1"/>
  <c r="M105" i="1"/>
  <c r="M109" i="1" s="1"/>
  <c r="L22" i="1"/>
  <c r="L63" i="1"/>
  <c r="O25" i="1"/>
  <c r="N26" i="1"/>
  <c r="N24" i="1"/>
  <c r="M18" i="1"/>
  <c r="N13" i="1"/>
  <c r="N104" i="1" s="1"/>
  <c r="M99" i="1" l="1"/>
  <c r="N90" i="1"/>
  <c r="K90" i="1"/>
  <c r="K105" i="1"/>
  <c r="K109" i="1" s="1"/>
  <c r="K81" i="1"/>
  <c r="K80" i="1"/>
  <c r="N81" i="1"/>
  <c r="N74" i="1"/>
  <c r="N80" i="1"/>
  <c r="L28" i="1"/>
  <c r="O24" i="1"/>
  <c r="N105" i="1"/>
  <c r="N109" i="1" s="1"/>
  <c r="M19" i="1"/>
  <c r="O26" i="1"/>
  <c r="N18" i="1"/>
  <c r="O13" i="1"/>
  <c r="O104" i="1" s="1"/>
  <c r="K99" i="1" l="1"/>
  <c r="N99" i="1"/>
  <c r="M91" i="1"/>
  <c r="O90" i="1"/>
  <c r="O81" i="1"/>
  <c r="O74" i="1"/>
  <c r="O80" i="1"/>
  <c r="M77" i="1"/>
  <c r="M82" i="1"/>
  <c r="P25" i="1"/>
  <c r="O105" i="1"/>
  <c r="O109" i="1" s="1"/>
  <c r="M22" i="1"/>
  <c r="M28" i="1" s="1"/>
  <c r="M63" i="1"/>
  <c r="P26" i="1"/>
  <c r="P13" i="1"/>
  <c r="O18" i="1"/>
  <c r="N19" i="1"/>
  <c r="N91" i="1" l="1"/>
  <c r="O99" i="1"/>
  <c r="N77" i="1"/>
  <c r="N82" i="1"/>
  <c r="M75" i="1"/>
  <c r="M76" i="1"/>
  <c r="P24" i="1"/>
  <c r="P104" i="1"/>
  <c r="P157" i="1"/>
  <c r="P160" i="1" s="1"/>
  <c r="P18" i="1"/>
  <c r="P19" i="1" s="1"/>
  <c r="N22" i="1"/>
  <c r="N28" i="1" s="1"/>
  <c r="N63" i="1"/>
  <c r="O19" i="1"/>
  <c r="P90" i="1" l="1"/>
  <c r="P82" i="1"/>
  <c r="P91" i="1"/>
  <c r="O82" i="1"/>
  <c r="O91" i="1"/>
  <c r="P74" i="1"/>
  <c r="P80" i="1"/>
  <c r="P81" i="1"/>
  <c r="N76" i="1"/>
  <c r="N75" i="1"/>
  <c r="P77" i="1"/>
  <c r="O77" i="1"/>
  <c r="P105" i="1"/>
  <c r="P109" i="1" s="1"/>
  <c r="P22" i="1"/>
  <c r="P28" i="1" s="1"/>
  <c r="P63" i="1"/>
  <c r="O22" i="1"/>
  <c r="O28" i="1" s="1"/>
  <c r="O63" i="1"/>
  <c r="P99" i="1" l="1"/>
  <c r="O75" i="1"/>
  <c r="O76" i="1"/>
  <c r="P75" i="1"/>
  <c r="P76" i="1"/>
  <c r="L34" i="1"/>
  <c r="K57" i="1"/>
  <c r="L35" i="1"/>
  <c r="K59" i="1" l="1"/>
  <c r="K85" i="1"/>
  <c r="L38" i="1"/>
  <c r="M34" i="1"/>
  <c r="M35" i="1"/>
  <c r="L57" i="1"/>
  <c r="L59" i="1" l="1"/>
  <c r="L85" i="1"/>
  <c r="M38" i="1"/>
  <c r="M41" i="1" s="1"/>
  <c r="N35" i="1"/>
  <c r="M57" i="1"/>
  <c r="N34" i="1"/>
  <c r="N38" i="1" l="1"/>
  <c r="M59" i="1"/>
  <c r="M85" i="1"/>
  <c r="N41" i="1"/>
  <c r="N57" i="1"/>
  <c r="O35" i="1"/>
  <c r="O34" i="1"/>
  <c r="N59" i="1" l="1"/>
  <c r="N85" i="1"/>
  <c r="P34" i="1"/>
  <c r="O38" i="1"/>
  <c r="O41" i="1" s="1"/>
  <c r="P35" i="1"/>
  <c r="O57" i="1"/>
  <c r="O59" i="1" l="1"/>
  <c r="O85" i="1"/>
  <c r="P38" i="1"/>
  <c r="P41" i="1" s="1"/>
  <c r="P57" i="1"/>
  <c r="P59" i="1" l="1"/>
  <c r="P85" i="1"/>
  <c r="L41" i="1"/>
  <c r="K19" i="1"/>
  <c r="K91" i="1" s="1"/>
  <c r="K82" i="1" l="1"/>
  <c r="L77" i="1"/>
  <c r="K63" i="1"/>
  <c r="K65" i="1" s="1"/>
  <c r="K66" i="1" s="1"/>
  <c r="K22" i="1"/>
  <c r="K28" i="1" s="1"/>
  <c r="K87" i="1" l="1"/>
  <c r="K41" i="1"/>
  <c r="K42" i="1" s="1"/>
  <c r="K45" i="1" s="1"/>
  <c r="L76" i="1"/>
  <c r="L75" i="1"/>
  <c r="L65" i="1"/>
  <c r="L66" i="1" s="1"/>
  <c r="L40" i="1" l="1"/>
  <c r="L42" i="1" s="1"/>
  <c r="M40" i="1" s="1"/>
  <c r="M42" i="1" s="1"/>
  <c r="M45" i="1" s="1"/>
  <c r="M86" i="1" s="1"/>
  <c r="L87" i="1"/>
  <c r="L101" i="1"/>
  <c r="M65" i="1"/>
  <c r="N65" i="1" s="1"/>
  <c r="O65" i="1" s="1"/>
  <c r="L45" i="1" l="1"/>
  <c r="L86" i="1" s="1"/>
  <c r="L89" i="1" s="1"/>
  <c r="N66" i="1"/>
  <c r="N87" i="1" s="1"/>
  <c r="M66" i="1"/>
  <c r="M87" i="1" s="1"/>
  <c r="M95" i="1" s="1"/>
  <c r="M89" i="1"/>
  <c r="P65" i="1"/>
  <c r="P66" i="1" s="1"/>
  <c r="P87" i="1" s="1"/>
  <c r="O66" i="1"/>
  <c r="N40" i="1"/>
  <c r="N42" i="1" s="1"/>
  <c r="N45" i="1" s="1"/>
  <c r="N86" i="1" s="1"/>
  <c r="L48" i="1" l="1"/>
  <c r="L107" i="1" s="1"/>
  <c r="L94" i="1" s="1"/>
  <c r="L88" i="1"/>
  <c r="L95" i="1"/>
  <c r="M100" i="1" s="1"/>
  <c r="M101" i="1"/>
  <c r="N101" i="1"/>
  <c r="O101" i="1"/>
  <c r="M96" i="1"/>
  <c r="L96" i="1"/>
  <c r="O87" i="1"/>
  <c r="P101" i="1"/>
  <c r="M88" i="1"/>
  <c r="N89" i="1"/>
  <c r="N95" i="1"/>
  <c r="N100" i="1" s="1"/>
  <c r="N88" i="1"/>
  <c r="O40" i="1"/>
  <c r="O42" i="1" s="1"/>
  <c r="O45" i="1" s="1"/>
  <c r="O86" i="1" s="1"/>
  <c r="M48" i="1"/>
  <c r="M107" i="1" s="1"/>
  <c r="M94" i="1" s="1"/>
  <c r="M69" i="1"/>
  <c r="P147" i="1"/>
  <c r="P148" i="1" s="1"/>
  <c r="P149" i="1" s="1"/>
  <c r="K151" i="1" s="1"/>
  <c r="L54" i="1" l="1"/>
  <c r="L68" i="1" s="1"/>
  <c r="N96" i="1"/>
  <c r="O89" i="1"/>
  <c r="O95" i="1"/>
  <c r="O88" i="1"/>
  <c r="M54" i="1"/>
  <c r="M68" i="1" s="1"/>
  <c r="N69" i="1"/>
  <c r="N48" i="1"/>
  <c r="N107" i="1" s="1"/>
  <c r="N94" i="1" s="1"/>
  <c r="P40" i="1"/>
  <c r="P42" i="1" s="1"/>
  <c r="P45" i="1" s="1"/>
  <c r="P86" i="1" s="1"/>
  <c r="P95" i="1" s="1"/>
  <c r="P96" i="1" s="1"/>
  <c r="O96" i="1" l="1"/>
  <c r="P100" i="1"/>
  <c r="O100" i="1"/>
  <c r="P89" i="1"/>
  <c r="P88" i="1"/>
  <c r="M112" i="1"/>
  <c r="M113" i="1" s="1"/>
  <c r="M118" i="1" s="1"/>
  <c r="O69" i="1"/>
  <c r="O48" i="1"/>
  <c r="O107" i="1" s="1"/>
  <c r="O94" i="1" s="1"/>
  <c r="N54" i="1"/>
  <c r="N68" i="1" s="1"/>
  <c r="N112" i="1" l="1"/>
  <c r="N113" i="1" s="1"/>
  <c r="N118" i="1" s="1"/>
  <c r="O54" i="1"/>
  <c r="O68" i="1" s="1"/>
  <c r="P48" i="1"/>
  <c r="P107" i="1" s="1"/>
  <c r="P69" i="1"/>
  <c r="P94" i="1" l="1"/>
  <c r="P112" i="1"/>
  <c r="O112" i="1"/>
  <c r="O113" i="1" s="1"/>
  <c r="O118" i="1" s="1"/>
  <c r="P54" i="1"/>
  <c r="P68" i="1" s="1"/>
  <c r="P113" i="1" l="1"/>
  <c r="P118" i="1" s="1"/>
  <c r="P120" i="1" l="1"/>
  <c r="K121" i="1" s="1"/>
  <c r="K124" i="1" s="1"/>
  <c r="K69" i="1"/>
  <c r="L69" i="1"/>
  <c r="K86" i="1"/>
  <c r="K48" i="1"/>
  <c r="K54" i="1" l="1"/>
  <c r="K68" i="1" s="1"/>
  <c r="K107" i="1"/>
  <c r="K112" i="1" s="1"/>
  <c r="K113" i="1" s="1"/>
  <c r="K118" i="1" s="1"/>
  <c r="K88" i="1"/>
  <c r="K95" i="1"/>
  <c r="K89" i="1"/>
  <c r="K96" i="1" l="1"/>
  <c r="L100" i="1"/>
  <c r="K94" i="1"/>
  <c r="L112" i="1"/>
  <c r="L113" i="1" s="1"/>
  <c r="L118" i="1" s="1"/>
  <c r="K123" i="1" s="1"/>
  <c r="K125" i="1" s="1"/>
  <c r="K126" i="1" s="1"/>
  <c r="L124" i="1" s="1"/>
  <c r="L123" i="1" l="1"/>
  <c r="L125" i="1" s="1"/>
  <c r="K160" i="1"/>
  <c r="M181" i="1" s="1"/>
  <c r="K129" i="1"/>
  <c r="P181" i="1" l="1"/>
  <c r="K165" i="1"/>
  <c r="K181" i="1"/>
  <c r="K173" i="1"/>
  <c r="K161" i="1"/>
  <c r="K162" i="1"/>
  <c r="L181" i="1"/>
  <c r="O181" i="1"/>
  <c r="N181" i="1"/>
  <c r="L174" i="1" l="1"/>
  <c r="L203" i="1" s="1"/>
  <c r="K198" i="1"/>
  <c r="K185" i="1"/>
  <c r="O174" i="1"/>
  <c r="O203" i="1" s="1"/>
  <c r="N185" i="1"/>
  <c r="N174" i="1"/>
  <c r="N203" i="1" s="1"/>
  <c r="P174" i="1"/>
  <c r="P203" i="1" s="1"/>
  <c r="K177" i="1"/>
  <c r="K191" i="1" s="1"/>
  <c r="L185" i="1"/>
  <c r="P182" i="1"/>
  <c r="K169" i="1"/>
  <c r="L166" i="1"/>
  <c r="M185" i="1"/>
  <c r="M174" i="1"/>
  <c r="O185" i="1"/>
  <c r="L173" i="1" l="1"/>
  <c r="L177" i="1" s="1"/>
  <c r="K186" i="1"/>
  <c r="P207" i="1"/>
  <c r="K202" i="1"/>
  <c r="K204" i="1" s="1"/>
  <c r="L202" i="1" s="1"/>
  <c r="L204" i="1" s="1"/>
  <c r="M202" i="1" s="1"/>
  <c r="K206" i="1"/>
  <c r="K208" i="1" s="1"/>
  <c r="L206" i="1" s="1"/>
  <c r="L208" i="1" s="1"/>
  <c r="M206" i="1" s="1"/>
  <c r="M208" i="1" s="1"/>
  <c r="N206" i="1" s="1"/>
  <c r="N208" i="1" s="1"/>
  <c r="O206" i="1" s="1"/>
  <c r="O208" i="1" s="1"/>
  <c r="P206" i="1" s="1"/>
  <c r="K200" i="1"/>
  <c r="L198" i="1" s="1"/>
  <c r="M173" i="1"/>
  <c r="M177" i="1" s="1"/>
  <c r="M203" i="1"/>
  <c r="L165" i="1"/>
  <c r="L169" i="1" s="1"/>
  <c r="L199" i="1"/>
  <c r="M166" i="1"/>
  <c r="M199" i="1" s="1"/>
  <c r="P185" i="1"/>
  <c r="N173" i="1"/>
  <c r="N177" i="1" s="1"/>
  <c r="O173" i="1"/>
  <c r="O177" i="1" s="1"/>
  <c r="P173" i="1"/>
  <c r="P177" i="1" s="1"/>
  <c r="P205" i="1" l="1"/>
  <c r="P208" i="1"/>
  <c r="L191" i="1"/>
  <c r="M204" i="1"/>
  <c r="N202" i="1" s="1"/>
  <c r="N204" i="1" s="1"/>
  <c r="O202" i="1" s="1"/>
  <c r="O204" i="1" s="1"/>
  <c r="P202" i="1" s="1"/>
  <c r="P204" i="1" s="1"/>
  <c r="P209" i="1"/>
  <c r="M165" i="1"/>
  <c r="M169" i="1" s="1"/>
  <c r="M191" i="1" s="1"/>
  <c r="L200" i="1"/>
  <c r="M198" i="1" s="1"/>
  <c r="M200" i="1" s="1"/>
  <c r="N198" i="1" s="1"/>
  <c r="N166" i="1"/>
  <c r="N199" i="1" s="1"/>
  <c r="K178" i="1"/>
  <c r="O166" i="1" l="1"/>
  <c r="O165" i="1" s="1"/>
  <c r="O169" i="1" s="1"/>
  <c r="O191" i="1" s="1"/>
  <c r="N165" i="1"/>
  <c r="N169" i="1" s="1"/>
  <c r="N191" i="1" s="1"/>
  <c r="N200" i="1"/>
  <c r="O198" i="1" s="1"/>
  <c r="P166" i="1" l="1"/>
  <c r="O199" i="1"/>
  <c r="O200" i="1" l="1"/>
  <c r="P198" i="1" s="1"/>
  <c r="P167" i="1"/>
  <c r="K170" i="1" s="1"/>
  <c r="P165" i="1"/>
  <c r="P169" i="1" l="1"/>
  <c r="P191" i="1" s="1"/>
  <c r="K195" i="1" s="1"/>
  <c r="P199" i="1"/>
  <c r="P201" i="1" s="1"/>
  <c r="P200" i="1" l="1"/>
  <c r="K194" i="1"/>
  <c r="K1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<sst xmlns="http://schemas.openxmlformats.org/spreadsheetml/2006/main" count="276" uniqueCount="196">
  <si>
    <t>mt</t>
  </si>
  <si>
    <t>Product</t>
  </si>
  <si>
    <t>Freight</t>
  </si>
  <si>
    <t>ITEM</t>
  </si>
  <si>
    <t>FOB</t>
  </si>
  <si>
    <t>%</t>
  </si>
  <si>
    <t>CIF</t>
  </si>
  <si>
    <t>Insurance</t>
  </si>
  <si>
    <t>$/mt</t>
  </si>
  <si>
    <t>Parcel size</t>
  </si>
  <si>
    <t>Index</t>
  </si>
  <si>
    <t>$/MT Index disc</t>
  </si>
  <si>
    <t>PnL share</t>
  </si>
  <si>
    <t>No</t>
  </si>
  <si>
    <t>Ultimate marketed buyer margin</t>
  </si>
  <si>
    <t>Revenue</t>
  </si>
  <si>
    <t>Cost of Goods Sold</t>
  </si>
  <si>
    <t xml:space="preserve">   Gross margin</t>
  </si>
  <si>
    <t>Corporate overheads</t>
  </si>
  <si>
    <t>Financing charges</t>
  </si>
  <si>
    <t>Net Income</t>
  </si>
  <si>
    <t>Marketing revenue</t>
  </si>
  <si>
    <t>Tax</t>
  </si>
  <si>
    <t>Corporate Income tax</t>
  </si>
  <si>
    <t>Dividend tax</t>
  </si>
  <si>
    <t>CFR</t>
  </si>
  <si>
    <t>UoM</t>
  </si>
  <si>
    <t>Days</t>
  </si>
  <si>
    <t>Financing</t>
  </si>
  <si>
    <t>DES SALE</t>
  </si>
  <si>
    <t>Req. financing term per cargo</t>
  </si>
  <si>
    <t>Year 1</t>
  </si>
  <si>
    <t>Year 2</t>
  </si>
  <si>
    <t>Year 3</t>
  </si>
  <si>
    <t>Year 4</t>
  </si>
  <si>
    <t>Year 5</t>
  </si>
  <si>
    <t>Inflation</t>
  </si>
  <si>
    <t>INCOME STATEMENT</t>
  </si>
  <si>
    <t>CASH FLOW STATEMENT</t>
  </si>
  <si>
    <t>Year 0</t>
  </si>
  <si>
    <t>Accounts receivable</t>
  </si>
  <si>
    <t>CHECK</t>
  </si>
  <si>
    <t>Inventory</t>
  </si>
  <si>
    <t>Cash</t>
  </si>
  <si>
    <t>TOTAL CURRENT ASSETS</t>
  </si>
  <si>
    <t>Office equipment &amp; IT</t>
  </si>
  <si>
    <t>Capex</t>
  </si>
  <si>
    <t>Initial office &amp; equipment purchase</t>
  </si>
  <si>
    <t>Depreciation</t>
  </si>
  <si>
    <t>Accumulated depreciation</t>
  </si>
  <si>
    <t>TOTAL NON-CURRENT ASSETS</t>
  </si>
  <si>
    <t>TOTAL ASSETS</t>
  </si>
  <si>
    <t>Accounts Payabale</t>
  </si>
  <si>
    <t>EQUITY</t>
  </si>
  <si>
    <t>Equity</t>
  </si>
  <si>
    <t>Incorporation</t>
  </si>
  <si>
    <t>Statutory capital</t>
  </si>
  <si>
    <t>Retained earnings</t>
  </si>
  <si>
    <t>Dividends for the year</t>
  </si>
  <si>
    <t>TOTAL EQUITY</t>
  </si>
  <si>
    <t>Change in AR</t>
  </si>
  <si>
    <t>Change in inventory</t>
  </si>
  <si>
    <t>Change in AP</t>
  </si>
  <si>
    <t>Purchase of equipment &amp; IT</t>
  </si>
  <si>
    <t>INVESTING CASH FLOW</t>
  </si>
  <si>
    <t>Proceeds from trade finance</t>
  </si>
  <si>
    <t>Repayments of trade finance</t>
  </si>
  <si>
    <t>CASH FLOW FROM FINANCING</t>
  </si>
  <si>
    <t>Beginning cash</t>
  </si>
  <si>
    <t>Change in cash for the period</t>
  </si>
  <si>
    <t>Ending cash</t>
  </si>
  <si>
    <t>Trade finance</t>
  </si>
  <si>
    <t>Net income for the year</t>
  </si>
  <si>
    <t>Trade finance debt assumed</t>
  </si>
  <si>
    <t>BALANCE CHECK</t>
  </si>
  <si>
    <t>CASH CHECK</t>
  </si>
  <si>
    <t>EBIT</t>
  </si>
  <si>
    <t>DD&amp;A</t>
  </si>
  <si>
    <t>EBIT*(1-t)</t>
  </si>
  <si>
    <t>Change in W/C</t>
  </si>
  <si>
    <t>TOTAL CURRENT LIABILITIES</t>
  </si>
  <si>
    <t>FCFF</t>
  </si>
  <si>
    <t>WACC</t>
  </si>
  <si>
    <t>Year</t>
  </si>
  <si>
    <t>PV of FCFF</t>
  </si>
  <si>
    <t>Terminal value</t>
  </si>
  <si>
    <t>Perpetuity growth</t>
  </si>
  <si>
    <t>PV of TV</t>
  </si>
  <si>
    <t>Discount</t>
  </si>
  <si>
    <t>PV of FCF</t>
  </si>
  <si>
    <t>Enterprise value</t>
  </si>
  <si>
    <t>Equity value</t>
  </si>
  <si>
    <t>Cargoes financed over y.e.</t>
  </si>
  <si>
    <t>CIF/DES cargoes over y.e.</t>
  </si>
  <si>
    <t>Marketed over y.e.</t>
  </si>
  <si>
    <t>USD</t>
  </si>
  <si>
    <t>GROWTH</t>
  </si>
  <si>
    <t>VALUE</t>
  </si>
  <si>
    <t>PER CARGO</t>
  </si>
  <si>
    <t>BALANCE SHEET</t>
  </si>
  <si>
    <t>DISCOUNTED CASH FLOW ANALYSIS</t>
  </si>
  <si>
    <t>Accounts receivable days</t>
  </si>
  <si>
    <t>Inventory days</t>
  </si>
  <si>
    <t>Accounts payable</t>
  </si>
  <si>
    <t>CASH FLOW FROM OPERATIONS</t>
  </si>
  <si>
    <t>Short-term revolver debt</t>
  </si>
  <si>
    <t>IRR</t>
  </si>
  <si>
    <t>Date</t>
  </si>
  <si>
    <t>Cash out</t>
  </si>
  <si>
    <t>Cash in</t>
  </si>
  <si>
    <t>Total CF</t>
  </si>
  <si>
    <t>Terminal year EBITDA</t>
  </si>
  <si>
    <t>IRR LBO</t>
  </si>
  <si>
    <t>EBITDA sale multiple</t>
  </si>
  <si>
    <t>Interest on debt</t>
  </si>
  <si>
    <t>Arrangement</t>
  </si>
  <si>
    <t>Leverage</t>
  </si>
  <si>
    <t>Interest</t>
  </si>
  <si>
    <t>Net CF</t>
  </si>
  <si>
    <t>Principal repayment</t>
  </si>
  <si>
    <t>Linear</t>
  </si>
  <si>
    <t>Bullet</t>
  </si>
  <si>
    <t>Accelerated</t>
  </si>
  <si>
    <t>If accelerated, %</t>
  </si>
  <si>
    <t>Balance payment</t>
  </si>
  <si>
    <t>Principal check</t>
  </si>
  <si>
    <t>Purchase / Sale</t>
  </si>
  <si>
    <t>Amortisation type</t>
  </si>
  <si>
    <t>Balance repayment</t>
  </si>
  <si>
    <t xml:space="preserve"> </t>
  </si>
  <si>
    <t>NPV</t>
  </si>
  <si>
    <t>Hurdle rate</t>
  </si>
  <si>
    <t>Cash-on-cash</t>
  </si>
  <si>
    <t>DCF SENSITIVITY TABLE</t>
  </si>
  <si>
    <t>Days left from first year</t>
  </si>
  <si>
    <t>x</t>
  </si>
  <si>
    <t>EBITDA sales multiple</t>
  </si>
  <si>
    <t>Value</t>
  </si>
  <si>
    <t>Analysis</t>
  </si>
  <si>
    <t>AR days</t>
  </si>
  <si>
    <t>AP days</t>
  </si>
  <si>
    <t>Trade Financing haircut</t>
  </si>
  <si>
    <t>IRR Equity Holder (company liquidation at Y5)</t>
  </si>
  <si>
    <t>CIF/DES trading margin</t>
  </si>
  <si>
    <t>Investment</t>
  </si>
  <si>
    <t>Financial y.e. of investment</t>
  </si>
  <si>
    <t>TRADING CO LTD</t>
  </si>
  <si>
    <t>Gasoline 10ppm</t>
  </si>
  <si>
    <t xml:space="preserve">Income statement </t>
  </si>
  <si>
    <t>No of cargoes pa Sold CIF/DES Year 0</t>
  </si>
  <si>
    <t>No of cargoes pa marketed Year 0</t>
  </si>
  <si>
    <t>COGS</t>
  </si>
  <si>
    <t>$</t>
  </si>
  <si>
    <t>Interest on short-term revolver</t>
  </si>
  <si>
    <t>BALANCE</t>
  </si>
  <si>
    <t>REVOLVER</t>
  </si>
  <si>
    <t>Proceeds / (repayments)  from corporate  revolver</t>
  </si>
  <si>
    <t>Revolver max size needed</t>
  </si>
  <si>
    <t>ANALYSIS</t>
  </si>
  <si>
    <t xml:space="preserve">   Sales</t>
  </si>
  <si>
    <t xml:space="preserve">   EBITDA</t>
  </si>
  <si>
    <t xml:space="preserve">   Cash from Operations</t>
  </si>
  <si>
    <t xml:space="preserve">   Cash from Operations (before changes in W/C)</t>
  </si>
  <si>
    <t xml:space="preserve">   Net Income</t>
  </si>
  <si>
    <t>PROFITABILITY</t>
  </si>
  <si>
    <t xml:space="preserve">   EBIT margin</t>
  </si>
  <si>
    <t xml:space="preserve">   EBITDA margin</t>
  </si>
  <si>
    <t xml:space="preserve">   Net income margin</t>
  </si>
  <si>
    <t>CREDIT</t>
  </si>
  <si>
    <t xml:space="preserve">   Total debt</t>
  </si>
  <si>
    <t xml:space="preserve">   Net debt</t>
  </si>
  <si>
    <t xml:space="preserve">   Equity</t>
  </si>
  <si>
    <t xml:space="preserve">   Net Debt / Equity</t>
  </si>
  <si>
    <t xml:space="preserve">   Net debt / EBITDA</t>
  </si>
  <si>
    <t xml:space="preserve">   EBITDA / Net interest expense</t>
  </si>
  <si>
    <t xml:space="preserve">   Dividend payout ratio</t>
  </si>
  <si>
    <t>ASSET TURNOVER</t>
  </si>
  <si>
    <t>RETURNS</t>
  </si>
  <si>
    <t xml:space="preserve">   OWC to sales</t>
  </si>
  <si>
    <t xml:space="preserve">   Invested capital</t>
  </si>
  <si>
    <t xml:space="preserve">   Invested capital to sales</t>
  </si>
  <si>
    <t xml:space="preserve">   Net Operating profit after Tax (NOPAT)</t>
  </si>
  <si>
    <t xml:space="preserve">   Return on invested capital</t>
  </si>
  <si>
    <t xml:space="preserve">   Return on equity</t>
  </si>
  <si>
    <t>Debt Amortisation</t>
  </si>
  <si>
    <t>Beginning</t>
  </si>
  <si>
    <t xml:space="preserve">   Remaining Balance</t>
  </si>
  <si>
    <t>Liquidation discount of equity</t>
  </si>
  <si>
    <t>Discounted CF</t>
  </si>
  <si>
    <t>Match</t>
  </si>
  <si>
    <t>Net W/C excl cash</t>
  </si>
  <si>
    <t>First year of operations</t>
  </si>
  <si>
    <t>All-in trade finance cost p.a.</t>
  </si>
  <si>
    <t>EV</t>
  </si>
  <si>
    <t>No of cargoes pa Sold</t>
  </si>
  <si>
    <t>No of cargoes pa Marketed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</si>
</sst>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&quot;T+&quot;0&quot; hónap&quot;"/>
    <numFmt numFmtId="166" formatCode="&quot;Repayment&quot;#&quot; hónap&quot;"/>
    <numFmt numFmtId="167" formatCode="_(* #,##0.00\x_);_(* \(#,##0.00\x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43" fontId="0" fillId="0" borderId="0" xfId="1" applyFont="1"/>
    <xf numFmtId="43" fontId="3" fillId="0" borderId="0" xfId="1" applyFont="1" applyAlignment="1">
      <alignment horizontal="center" vertical="center"/>
    </xf>
    <xf numFmtId="43" fontId="1" fillId="0" borderId="0" xfId="1" applyFont="1" applyFill="1" applyAlignment="1">
      <alignment vertical="center"/>
    </xf>
    <xf numFmtId="43" fontId="2" fillId="0" borderId="0" xfId="1" applyFont="1"/>
    <xf numFmtId="43" fontId="2" fillId="2" borderId="0" xfId="1" applyFont="1" applyFill="1" applyAlignment="1">
      <alignment horizontal="center" vertical="center"/>
    </xf>
    <xf numFmtId="43" fontId="0" fillId="0" borderId="0" xfId="1" applyFont="1" applyBorder="1"/>
    <xf numFmtId="43" fontId="0" fillId="0" borderId="0" xfId="1" applyFont="1" applyBorder="1" applyAlignment="1">
      <alignment horizontal="center" vertical="center"/>
    </xf>
    <xf numFmtId="43" fontId="2" fillId="0" borderId="0" xfId="1" applyFont="1" applyBorder="1"/>
    <xf numFmtId="43" fontId="4" fillId="0" borderId="0" xfId="1" applyFont="1" applyBorder="1"/>
    <xf numFmtId="43" fontId="3" fillId="3" borderId="0" xfId="1" applyFont="1" applyFill="1"/>
    <xf numFmtId="10" fontId="3" fillId="3" borderId="0" xfId="1" applyNumberFormat="1" applyFont="1" applyFill="1"/>
    <xf numFmtId="10" fontId="3" fillId="3" borderId="0" xfId="2" applyNumberFormat="1" applyFont="1" applyFill="1"/>
    <xf numFmtId="9" fontId="3" fillId="3" borderId="0" xfId="1" applyNumberFormat="1" applyFont="1" applyFill="1"/>
    <xf numFmtId="43" fontId="2" fillId="0" borderId="5" xfId="1" applyFont="1" applyBorder="1"/>
    <xf numFmtId="43" fontId="0" fillId="0" borderId="5" xfId="1" applyFont="1" applyBorder="1"/>
    <xf numFmtId="43" fontId="5" fillId="0" borderId="5" xfId="1" applyFont="1" applyBorder="1"/>
    <xf numFmtId="43" fontId="0" fillId="0" borderId="0" xfId="0" applyNumberFormat="1"/>
    <xf numFmtId="43" fontId="2" fillId="0" borderId="0" xfId="1" applyFont="1" applyBorder="1" applyAlignment="1">
      <alignment horizontal="center" vertical="center"/>
    </xf>
    <xf numFmtId="43" fontId="0" fillId="0" borderId="1" xfId="1" applyFont="1" applyBorder="1"/>
    <xf numFmtId="43" fontId="0" fillId="0" borderId="6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1" fillId="2" borderId="0" xfId="1" applyFont="1" applyFill="1" applyAlignment="1">
      <alignment horizontal="left" vertical="center"/>
    </xf>
    <xf numFmtId="14" fontId="0" fillId="0" borderId="0" xfId="1" applyNumberFormat="1" applyFont="1"/>
    <xf numFmtId="43" fontId="0" fillId="0" borderId="7" xfId="1" applyFont="1" applyBorder="1"/>
    <xf numFmtId="43" fontId="0" fillId="0" borderId="8" xfId="1" applyFont="1" applyBorder="1"/>
    <xf numFmtId="43" fontId="2" fillId="2" borderId="0" xfId="1" applyFont="1" applyFill="1"/>
    <xf numFmtId="43" fontId="2" fillId="2" borderId="0" xfId="1" applyFont="1" applyFill="1" applyAlignment="1">
      <alignment horizontal="right"/>
    </xf>
    <xf numFmtId="10" fontId="0" fillId="0" borderId="0" xfId="2" applyNumberFormat="1" applyFont="1"/>
    <xf numFmtId="10" fontId="0" fillId="0" borderId="0" xfId="1" applyNumberFormat="1" applyFont="1"/>
    <xf numFmtId="164" fontId="3" fillId="3" borderId="0" xfId="1" applyNumberFormat="1" applyFont="1" applyFill="1"/>
    <xf numFmtId="14" fontId="3" fillId="3" borderId="0" xfId="1" applyNumberFormat="1" applyFont="1" applyFill="1"/>
    <xf numFmtId="43" fontId="4" fillId="0" borderId="0" xfId="1" applyFont="1"/>
    <xf numFmtId="43" fontId="8" fillId="0" borderId="0" xfId="1" applyFont="1" applyAlignment="1">
      <alignment horizontal="center"/>
    </xf>
    <xf numFmtId="43" fontId="0" fillId="2" borderId="0" xfId="1" applyFont="1" applyFill="1"/>
    <xf numFmtId="43" fontId="1" fillId="2" borderId="0" xfId="1" applyFont="1" applyFill="1"/>
    <xf numFmtId="10" fontId="1" fillId="2" borderId="0" xfId="2" applyNumberFormat="1" applyFont="1" applyFill="1"/>
    <xf numFmtId="167" fontId="1" fillId="2" borderId="0" xfId="1" applyNumberFormat="1" applyFont="1" applyFill="1"/>
    <xf numFmtId="43" fontId="8" fillId="2" borderId="0" xfId="1" applyFont="1" applyFill="1" applyAlignment="1">
      <alignment horizontal="left"/>
    </xf>
    <xf numFmtId="43" fontId="2" fillId="2" borderId="0" xfId="1" applyFont="1" applyFill="1" applyAlignment="1">
      <alignment vertical="center"/>
    </xf>
    <xf numFmtId="43" fontId="2" fillId="2" borderId="0" xfId="1" applyFont="1" applyFill="1" applyAlignment="1">
      <alignment vertical="center" wrapText="1"/>
    </xf>
    <xf numFmtId="166" fontId="2" fillId="0" borderId="5" xfId="1" applyNumberFormat="1" applyFont="1" applyBorder="1"/>
    <xf numFmtId="167" fontId="3" fillId="3" borderId="0" xfId="1" applyNumberFormat="1" applyFont="1" applyFill="1"/>
    <xf numFmtId="43" fontId="2" fillId="0" borderId="5" xfId="1" applyNumberFormat="1" applyFont="1" applyBorder="1"/>
    <xf numFmtId="165" fontId="3" fillId="3" borderId="0" xfId="1" applyNumberFormat="1" applyFont="1" applyFill="1" applyAlignment="1">
      <alignment horizontal="center" vertical="center"/>
    </xf>
    <xf numFmtId="43" fontId="9" fillId="0" borderId="0" xfId="1" applyFont="1"/>
    <xf numFmtId="43" fontId="2" fillId="2" borderId="0" xfId="1" applyFont="1" applyFill="1" applyAlignment="1">
      <alignment horizontal="center" vertical="center"/>
    </xf>
    <xf numFmtId="43" fontId="1" fillId="0" borderId="0" xfId="1" applyFont="1"/>
    <xf numFmtId="0" fontId="0" fillId="0" borderId="0" xfId="1" applyNumberFormat="1" applyFont="1"/>
    <xf numFmtId="0" fontId="9" fillId="0" borderId="0" xfId="1" applyNumberFormat="1" applyFont="1"/>
    <xf numFmtId="43" fontId="10" fillId="0" borderId="0" xfId="1" applyFont="1"/>
    <xf numFmtId="43" fontId="2" fillId="0" borderId="0" xfId="1" applyFont="1" applyAlignment="1">
      <alignment horizontal="center" vertical="center"/>
    </xf>
    <xf numFmtId="43" fontId="0" fillId="0" borderId="0" xfId="1" applyFont="1" applyFill="1"/>
    <xf numFmtId="164" fontId="0" fillId="0" borderId="0" xfId="2" applyNumberFormat="1" applyFont="1"/>
    <xf numFmtId="167" fontId="0" fillId="0" borderId="0" xfId="1" applyNumberFormat="1" applyFont="1"/>
    <xf numFmtId="14" fontId="0" fillId="2" borderId="0" xfId="1" applyNumberFormat="1" applyFont="1" applyFill="1"/>
    <xf numFmtId="164" fontId="1" fillId="2" borderId="0" xfId="1" applyNumberFormat="1" applyFont="1" applyFill="1"/>
    <xf numFmtId="0" fontId="0" fillId="2" borderId="0" xfId="0" applyFill="1"/>
    <xf numFmtId="43" fontId="4" fillId="2" borderId="0" xfId="1" applyFont="1" applyFill="1"/>
    <xf numFmtId="164" fontId="2" fillId="2" borderId="0" xfId="1" applyNumberFormat="1" applyFont="1" applyFill="1"/>
    <xf numFmtId="43" fontId="4" fillId="0" borderId="0" xfId="1" applyFont="1" applyFill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7" fillId="2" borderId="0" xfId="1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EFFC-19AC-3F4A-9E29-82C41DE6BBFD}">
  <dimension ref="A2:R213"/>
  <sheetViews>
    <sheetView tabSelected="1" zoomScale="83" zoomScaleNormal="85" workbookViewId="0">
      <selection activeCell="D28" sqref="D28"/>
    </sheetView>
  </sheetViews>
  <sheetFormatPr baseColWidth="10" defaultRowHeight="16" x14ac:dyDescent="0.2"/>
  <cols>
    <col min="1" max="1" width="4.1640625" customWidth="1"/>
    <col min="2" max="2" width="10.83203125" style="1"/>
    <col min="3" max="3" width="30" style="1" bestFit="1" customWidth="1"/>
    <col min="4" max="4" width="15.83203125" style="1" customWidth="1"/>
    <col min="5" max="5" width="2" style="1" customWidth="1"/>
    <col min="6" max="6" width="15.83203125" style="1" customWidth="1"/>
    <col min="7" max="7" width="2" style="1" customWidth="1"/>
    <col min="8" max="8" width="7.33203125" customWidth="1"/>
    <col min="9" max="9" width="3.1640625" style="1" customWidth="1"/>
    <col min="10" max="10" width="44.5" style="1" bestFit="1" customWidth="1"/>
    <col min="11" max="11" width="16" style="1" bestFit="1" customWidth="1"/>
    <col min="12" max="16" width="18.6640625" style="1" customWidth="1"/>
    <col min="17" max="17" width="3.1640625" style="1" customWidth="1"/>
    <col min="18" max="18" width="13.33203125" style="1" bestFit="1" customWidth="1"/>
    <col min="19" max="16384" width="10.83203125" style="1"/>
  </cols>
  <sheetData>
    <row r="2" spans="2:17" x14ac:dyDescent="0.2">
      <c r="B2" s="65" t="s">
        <v>26</v>
      </c>
      <c r="C2" s="65" t="s">
        <v>3</v>
      </c>
      <c r="D2" s="65" t="s">
        <v>97</v>
      </c>
      <c r="E2" s="41"/>
      <c r="F2" s="65" t="s">
        <v>98</v>
      </c>
      <c r="G2" s="42"/>
      <c r="I2" s="64" t="s">
        <v>146</v>
      </c>
      <c r="J2" s="64"/>
      <c r="K2" s="64"/>
      <c r="L2" s="64"/>
      <c r="M2" s="64"/>
      <c r="N2" s="64"/>
      <c r="O2" s="64"/>
      <c r="P2" s="64"/>
      <c r="Q2"/>
    </row>
    <row r="3" spans="2:17" x14ac:dyDescent="0.2">
      <c r="B3" s="65"/>
      <c r="C3" s="65"/>
      <c r="D3" s="65"/>
      <c r="E3" s="41"/>
      <c r="F3" s="65"/>
      <c r="G3" s="42"/>
      <c r="I3" s="64"/>
      <c r="J3" s="64"/>
      <c r="K3" s="64"/>
      <c r="L3" s="64"/>
      <c r="M3" s="64"/>
      <c r="N3" s="64"/>
      <c r="O3" s="64"/>
      <c r="P3" s="64"/>
      <c r="Q3"/>
    </row>
    <row r="4" spans="2:17" x14ac:dyDescent="0.2">
      <c r="B4" s="65"/>
      <c r="C4" s="65"/>
      <c r="D4" s="65"/>
      <c r="E4" s="41"/>
      <c r="F4" s="65"/>
      <c r="G4" s="42"/>
      <c r="I4" s="64"/>
      <c r="J4" s="64"/>
      <c r="K4" s="64"/>
      <c r="L4" s="64"/>
      <c r="M4" s="64"/>
      <c r="N4" s="64"/>
      <c r="O4" s="64"/>
      <c r="P4" s="64"/>
      <c r="Q4"/>
    </row>
    <row r="5" spans="2:17" x14ac:dyDescent="0.2">
      <c r="C5" s="1" t="s">
        <v>1</v>
      </c>
      <c r="D5" s="2" t="s">
        <v>147</v>
      </c>
      <c r="J5" s="1" t="s">
        <v>194</v>
      </c>
      <c r="L5" s="10">
        <v>6</v>
      </c>
      <c r="M5" s="10">
        <v>4</v>
      </c>
      <c r="N5" s="10">
        <v>6</v>
      </c>
      <c r="O5" s="10">
        <v>16</v>
      </c>
      <c r="P5" s="10">
        <v>8</v>
      </c>
    </row>
    <row r="6" spans="2:17" x14ac:dyDescent="0.2">
      <c r="B6" s="1" t="s">
        <v>8</v>
      </c>
      <c r="C6" s="1" t="s">
        <v>10</v>
      </c>
      <c r="D6" s="10">
        <v>401</v>
      </c>
      <c r="F6" s="1">
        <f>+D6*D10</f>
        <v>12030000</v>
      </c>
      <c r="J6" s="1" t="s">
        <v>195</v>
      </c>
      <c r="L6" s="10">
        <v>2</v>
      </c>
      <c r="M6" s="10">
        <v>4</v>
      </c>
      <c r="N6" s="10">
        <v>6</v>
      </c>
      <c r="O6" s="10">
        <v>8</v>
      </c>
      <c r="P6" s="10">
        <v>10</v>
      </c>
    </row>
    <row r="7" spans="2:17" x14ac:dyDescent="0.2">
      <c r="B7" s="1" t="s">
        <v>8</v>
      </c>
      <c r="C7" s="1" t="s">
        <v>11</v>
      </c>
      <c r="D7" s="10">
        <v>-56</v>
      </c>
      <c r="F7" s="1">
        <f>+D7*$D$10</f>
        <v>-1680000</v>
      </c>
      <c r="J7" s="51" t="s">
        <v>83</v>
      </c>
      <c r="L7" s="51">
        <v>1</v>
      </c>
      <c r="M7" s="51">
        <v>2</v>
      </c>
      <c r="N7" s="51">
        <v>3</v>
      </c>
      <c r="O7" s="51">
        <v>4</v>
      </c>
      <c r="P7" s="51">
        <v>5</v>
      </c>
    </row>
    <row r="8" spans="2:17" ht="16" customHeight="1" x14ac:dyDescent="0.2">
      <c r="B8" s="16" t="s">
        <v>8</v>
      </c>
      <c r="C8" s="16" t="s">
        <v>4</v>
      </c>
      <c r="D8" s="14">
        <f>+D6+D7</f>
        <v>345</v>
      </c>
      <c r="E8" s="15"/>
      <c r="F8" s="15">
        <f>+D8*$D$10</f>
        <v>10350000</v>
      </c>
      <c r="I8" s="4" t="s">
        <v>37</v>
      </c>
      <c r="Q8"/>
    </row>
    <row r="9" spans="2:17" x14ac:dyDescent="0.2">
      <c r="B9" s="1" t="s">
        <v>8</v>
      </c>
      <c r="C9" s="1" t="s">
        <v>2</v>
      </c>
      <c r="D9" s="10">
        <v>8</v>
      </c>
      <c r="F9" s="1">
        <f>+D9*D10*-1</f>
        <v>-240000</v>
      </c>
      <c r="I9" s="6"/>
      <c r="J9" s="7"/>
      <c r="K9" s="18" t="s">
        <v>39</v>
      </c>
      <c r="L9" s="18" t="s">
        <v>31</v>
      </c>
      <c r="M9" s="18" t="s">
        <v>32</v>
      </c>
      <c r="N9" s="18" t="s">
        <v>33</v>
      </c>
      <c r="O9" s="18" t="s">
        <v>34</v>
      </c>
      <c r="P9" s="18" t="s">
        <v>35</v>
      </c>
      <c r="Q9"/>
    </row>
    <row r="10" spans="2:17" ht="16" customHeight="1" x14ac:dyDescent="0.2">
      <c r="B10" s="1" t="s">
        <v>0</v>
      </c>
      <c r="C10" s="1" t="s">
        <v>9</v>
      </c>
      <c r="D10" s="10">
        <v>30000</v>
      </c>
      <c r="I10" s="6"/>
      <c r="J10" s="6" t="s">
        <v>15</v>
      </c>
      <c r="K10" s="6">
        <f>+F17*D26</f>
        <v>64800916.019999996</v>
      </c>
      <c r="L10" s="6">
        <f>$F$17*L5*(1+$D$31)^L7</f>
        <v>66096934.340399995</v>
      </c>
      <c r="M10" s="6">
        <f>$F$17*M5*(1+$D$31)^M7</f>
        <v>44945915.351471998</v>
      </c>
      <c r="N10" s="6">
        <f>$F$17*N5*(1+$D$31)^N7</f>
        <v>68767250.487752154</v>
      </c>
      <c r="O10" s="6">
        <f>$F$17*O5*(1+$D$31)^O7</f>
        <v>187046921.32668588</v>
      </c>
      <c r="P10" s="6">
        <f>$F$17*P5*(1+$D$31)^P7</f>
        <v>95393929.876609802</v>
      </c>
      <c r="Q10"/>
    </row>
    <row r="11" spans="2:17" ht="16" customHeight="1" x14ac:dyDescent="0.2">
      <c r="B11" s="16" t="s">
        <v>8</v>
      </c>
      <c r="C11" s="16" t="s">
        <v>25</v>
      </c>
      <c r="D11" s="16">
        <f>+D8+D9</f>
        <v>353</v>
      </c>
      <c r="E11" s="15"/>
      <c r="F11" s="15">
        <f>+D11*D10</f>
        <v>10590000</v>
      </c>
      <c r="I11" s="6"/>
      <c r="J11" s="6" t="s">
        <v>21</v>
      </c>
      <c r="K11" s="6">
        <f>+D21*D22*D27*D10</f>
        <v>900000</v>
      </c>
      <c r="L11" s="6">
        <f>+$D$21*$D$22*L6*$D$10*(1+$D$31)^L7</f>
        <v>918000</v>
      </c>
      <c r="M11" s="6">
        <f>+$D$21*$D$22*M6*$D$10*(1+$D$31)^M7</f>
        <v>1872720</v>
      </c>
      <c r="N11" s="6">
        <f>+$D$21*$D$22*N6*$D$10*(1+$D$31)^N7</f>
        <v>2865261.5999999996</v>
      </c>
      <c r="O11" s="6">
        <f>+$D$21*$D$22*O6*$D$10*(1+$D$31)^O7</f>
        <v>3896755.7760000001</v>
      </c>
      <c r="P11" s="6">
        <f>+$D$21*$D$22*P6*$D$10*(1+$D$31)^P7</f>
        <v>4968363.6144000003</v>
      </c>
      <c r="Q11"/>
    </row>
    <row r="12" spans="2:17" x14ac:dyDescent="0.2">
      <c r="B12" s="1" t="s">
        <v>5</v>
      </c>
      <c r="C12" s="1" t="s">
        <v>7</v>
      </c>
      <c r="D12" s="11">
        <v>2E-3</v>
      </c>
      <c r="F12" s="1">
        <f>+D12*D11*D10</f>
        <v>21180</v>
      </c>
      <c r="I12" s="6"/>
      <c r="J12" s="6" t="s">
        <v>16</v>
      </c>
      <c r="K12" s="6">
        <f>+D29</f>
        <v>-63540000</v>
      </c>
      <c r="L12" s="6">
        <f>$F$29*L5*(1+$D$31)^L7</f>
        <v>-64810800</v>
      </c>
      <c r="M12" s="6">
        <f t="shared" ref="M12:P12" si="0">$F$29*M5*(1+$D$31)^M7</f>
        <v>-44071344</v>
      </c>
      <c r="N12" s="6">
        <f t="shared" si="0"/>
        <v>-67429156.319999993</v>
      </c>
      <c r="O12" s="6">
        <f t="shared" si="0"/>
        <v>-183407305.1904</v>
      </c>
      <c r="P12" s="6">
        <f t="shared" si="0"/>
        <v>-93537725.647103995</v>
      </c>
    </row>
    <row r="13" spans="2:17" x14ac:dyDescent="0.2">
      <c r="B13" s="16" t="s">
        <v>8</v>
      </c>
      <c r="C13" s="16" t="s">
        <v>6</v>
      </c>
      <c r="D13" s="16">
        <f>+D11+D12*D11*D10/D10</f>
        <v>353.70600000000002</v>
      </c>
      <c r="E13" s="15"/>
      <c r="F13" s="15">
        <f>+D13*D10</f>
        <v>10611180</v>
      </c>
      <c r="I13" s="6"/>
      <c r="J13" s="9" t="s">
        <v>17</v>
      </c>
      <c r="K13" s="6">
        <f>+K10+K11+K12</f>
        <v>2160916.0199999958</v>
      </c>
      <c r="L13" s="6">
        <f>+L10+L11+L12</f>
        <v>2204134.3403999954</v>
      </c>
      <c r="M13" s="6">
        <f t="shared" ref="M13:P13" si="1">+M10+M11+M12</f>
        <v>2747291.3514719978</v>
      </c>
      <c r="N13" s="6">
        <f t="shared" si="1"/>
        <v>4203355.7677521557</v>
      </c>
      <c r="O13" s="6">
        <f t="shared" si="1"/>
        <v>7536371.9122858644</v>
      </c>
      <c r="P13" s="6">
        <f t="shared" si="1"/>
        <v>6824567.8439058065</v>
      </c>
    </row>
    <row r="14" spans="2:17" x14ac:dyDescent="0.2">
      <c r="B14" s="1" t="s">
        <v>5</v>
      </c>
      <c r="C14" s="1" t="s">
        <v>192</v>
      </c>
      <c r="D14" s="12">
        <v>0.04</v>
      </c>
      <c r="F14" s="1">
        <f>+F16</f>
        <v>68972.670000000013</v>
      </c>
      <c r="I14" s="6"/>
      <c r="J14" s="6" t="s">
        <v>18</v>
      </c>
      <c r="K14" s="6">
        <f>-1*F20*D26</f>
        <v>-180000</v>
      </c>
      <c r="L14" s="6">
        <f>-$F$20*L5*(1+$D$31)^L7</f>
        <v>-183600</v>
      </c>
      <c r="M14" s="6">
        <f>-$F$20*M5*(1+$D$31)^M7</f>
        <v>-124848</v>
      </c>
      <c r="N14" s="6">
        <f>-$F$20*N5*(1+$D$31)^N7</f>
        <v>-191017.43999999997</v>
      </c>
      <c r="O14" s="6">
        <f>-$F$20*O5*(1+$D$31)^O7</f>
        <v>-519567.43679999997</v>
      </c>
      <c r="P14" s="6">
        <f>-$F$20*P5*(1+$D$31)^P7</f>
        <v>-264979.39276800002</v>
      </c>
    </row>
    <row r="15" spans="2:17" x14ac:dyDescent="0.2">
      <c r="B15" s="1" t="s">
        <v>8</v>
      </c>
      <c r="C15" s="1" t="s">
        <v>143</v>
      </c>
      <c r="D15" s="10">
        <v>4</v>
      </c>
      <c r="F15" s="1">
        <f>+D15*D10</f>
        <v>120000</v>
      </c>
      <c r="I15" s="6"/>
      <c r="J15" s="6" t="s">
        <v>7</v>
      </c>
      <c r="K15" s="6">
        <f>+F12*D26*-1</f>
        <v>-127080</v>
      </c>
      <c r="L15" s="6">
        <f>-$F$12*L5*(1+$D$31)^L7</f>
        <v>-129621.6</v>
      </c>
      <c r="M15" s="6">
        <f>-$F$12*M5*(1+$D$31)^M7</f>
        <v>-88142.687999999995</v>
      </c>
      <c r="N15" s="6">
        <f>-$F$12*N5*(1+$D$31)^N7</f>
        <v>-134858.31263999999</v>
      </c>
      <c r="O15" s="6">
        <f>-$F$12*O5*(1+$D$31)^O7</f>
        <v>-366814.61038079998</v>
      </c>
      <c r="P15" s="6">
        <f>-$F$12*P5*(1+$D$31)^P7</f>
        <v>-187075.451294208</v>
      </c>
    </row>
    <row r="16" spans="2:17" x14ac:dyDescent="0.2">
      <c r="B16" s="34" t="s">
        <v>8</v>
      </c>
      <c r="C16" s="34" t="s">
        <v>28</v>
      </c>
      <c r="D16" s="34">
        <f>+D13*D14*(D19/360)*(1-D25)</f>
        <v>2.2990890000000004</v>
      </c>
      <c r="F16" s="1">
        <f>+D16*D10</f>
        <v>68972.670000000013</v>
      </c>
      <c r="H16" s="17"/>
      <c r="I16" s="6"/>
      <c r="J16" s="1" t="s">
        <v>48</v>
      </c>
      <c r="K16" s="1">
        <f>+K51</f>
        <v>-12000</v>
      </c>
      <c r="L16" s="1">
        <f>+K16</f>
        <v>-12000</v>
      </c>
      <c r="M16" s="1">
        <f t="shared" ref="M16:O16" si="2">+L16</f>
        <v>-12000</v>
      </c>
      <c r="N16" s="1">
        <f t="shared" si="2"/>
        <v>-12000</v>
      </c>
      <c r="O16" s="1">
        <f t="shared" si="2"/>
        <v>-12000</v>
      </c>
      <c r="P16" s="1">
        <v>0</v>
      </c>
    </row>
    <row r="17" spans="2:16" x14ac:dyDescent="0.2">
      <c r="B17" s="16" t="s">
        <v>8</v>
      </c>
      <c r="C17" s="16" t="s">
        <v>29</v>
      </c>
      <c r="D17" s="16">
        <f>+D13+D15+D16</f>
        <v>360.005089</v>
      </c>
      <c r="E17" s="15"/>
      <c r="F17" s="15">
        <f>+D17*D10</f>
        <v>10800152.67</v>
      </c>
      <c r="H17" s="1"/>
      <c r="I17" s="6"/>
      <c r="J17" s="6" t="s">
        <v>19</v>
      </c>
      <c r="K17" s="6">
        <f>+$D$28+IF(K58&gt;0,K58*$D$55,0)*-1</f>
        <v>-417452.41800000006</v>
      </c>
      <c r="L17" s="6">
        <f>$F$28*L5*(1+$D$31)^L7+IF(L58&gt;0,L58*$D$55,0)*-1</f>
        <v>-392401.46636000008</v>
      </c>
      <c r="M17" s="6">
        <f>$F$28*M5*(1+$D$31)^M7+IF(M58&gt;0,M58*$D$55,0)*-1</f>
        <v>-258332.99712480005</v>
      </c>
      <c r="N17" s="6">
        <f>$F$28*N5*(1+$D$31)^N7+IF(N58&gt;0,N58*$D$55,0)*-1</f>
        <v>-395249.48560094403</v>
      </c>
      <c r="O17" s="6">
        <f>$F$28*O5*(1+$D$31)^O7+IF(O58&gt;0,O58*$D$55,0)*-1</f>
        <v>-1075078.6008345678</v>
      </c>
      <c r="P17" s="6">
        <f>$F$28*P5*(1+$D$31)^P7+IF(P58&gt;0,P58*$D$55,0)*-1</f>
        <v>-548290.08642562968</v>
      </c>
    </row>
    <row r="18" spans="2:16" x14ac:dyDescent="0.2">
      <c r="I18" s="6"/>
      <c r="J18" s="6" t="s">
        <v>22</v>
      </c>
      <c r="K18" s="6">
        <f t="shared" ref="K18:P18" si="3">+SUM(K13:K17)*$D$23*-1</f>
        <v>-170926.03223999948</v>
      </c>
      <c r="L18" s="6">
        <f t="shared" si="3"/>
        <v>-178381.35288479945</v>
      </c>
      <c r="M18" s="6">
        <f t="shared" si="3"/>
        <v>-271676.11996166373</v>
      </c>
      <c r="N18" s="6">
        <f t="shared" si="3"/>
        <v>-416427.66354134533</v>
      </c>
      <c r="O18" s="6">
        <f t="shared" si="3"/>
        <v>-667549.35171245958</v>
      </c>
      <c r="P18" s="6">
        <f t="shared" si="3"/>
        <v>-698906.74961015629</v>
      </c>
    </row>
    <row r="19" spans="2:16" x14ac:dyDescent="0.2">
      <c r="B19" s="1" t="s">
        <v>27</v>
      </c>
      <c r="C19" s="1" t="s">
        <v>30</v>
      </c>
      <c r="D19" s="10">
        <v>65</v>
      </c>
      <c r="J19" s="8" t="s">
        <v>20</v>
      </c>
      <c r="K19" s="8">
        <f t="shared" ref="K19:P19" si="4">+SUM(K13:K18)</f>
        <v>1253457.5697599964</v>
      </c>
      <c r="L19" s="8">
        <f t="shared" si="4"/>
        <v>1308129.9211551959</v>
      </c>
      <c r="M19" s="8">
        <f t="shared" si="4"/>
        <v>1992291.5463855341</v>
      </c>
      <c r="N19" s="8">
        <f t="shared" si="4"/>
        <v>3053802.865969866</v>
      </c>
      <c r="O19" s="8">
        <f t="shared" si="4"/>
        <v>4895361.9125580369</v>
      </c>
      <c r="P19" s="8">
        <f t="shared" si="4"/>
        <v>5125316.1638078131</v>
      </c>
    </row>
    <row r="20" spans="2:16" x14ac:dyDescent="0.2">
      <c r="B20" s="1" t="s">
        <v>8</v>
      </c>
      <c r="C20" s="1" t="s">
        <v>18</v>
      </c>
      <c r="D20" s="10">
        <v>1</v>
      </c>
      <c r="F20" s="1">
        <f>+D20*D10</f>
        <v>30000</v>
      </c>
    </row>
    <row r="21" spans="2:16" x14ac:dyDescent="0.2">
      <c r="B21" s="1" t="s">
        <v>8</v>
      </c>
      <c r="C21" s="1" t="s">
        <v>14</v>
      </c>
      <c r="D21" s="10">
        <v>30</v>
      </c>
      <c r="F21" s="1">
        <f>+D21*D10</f>
        <v>900000</v>
      </c>
      <c r="I21" s="4" t="s">
        <v>38</v>
      </c>
    </row>
    <row r="22" spans="2:16" x14ac:dyDescent="0.2">
      <c r="B22" s="1" t="s">
        <v>5</v>
      </c>
      <c r="C22" s="1" t="s">
        <v>12</v>
      </c>
      <c r="D22" s="13">
        <v>0.5</v>
      </c>
      <c r="F22" s="1">
        <f>+F21*D22</f>
        <v>450000</v>
      </c>
      <c r="J22" s="1" t="str">
        <f>+J19</f>
        <v>Net Income</v>
      </c>
      <c r="K22" s="1">
        <f t="shared" ref="K22:O22" si="5">+K19</f>
        <v>1253457.5697599964</v>
      </c>
      <c r="L22" s="1">
        <f t="shared" si="5"/>
        <v>1308129.9211551959</v>
      </c>
      <c r="M22" s="1">
        <f t="shared" si="5"/>
        <v>1992291.5463855341</v>
      </c>
      <c r="N22" s="1">
        <f t="shared" si="5"/>
        <v>3053802.865969866</v>
      </c>
      <c r="O22" s="1">
        <f t="shared" si="5"/>
        <v>4895361.9125580369</v>
      </c>
      <c r="P22" s="1">
        <f t="shared" ref="P22" si="6">+P19</f>
        <v>5125316.1638078131</v>
      </c>
    </row>
    <row r="23" spans="2:16" x14ac:dyDescent="0.2">
      <c r="B23" s="1" t="s">
        <v>5</v>
      </c>
      <c r="C23" s="1" t="s">
        <v>23</v>
      </c>
      <c r="D23" s="12">
        <v>0.12</v>
      </c>
      <c r="J23" s="1" t="s">
        <v>48</v>
      </c>
      <c r="K23" s="1">
        <f t="shared" ref="K23:P23" si="7">-K16</f>
        <v>12000</v>
      </c>
      <c r="L23" s="1">
        <f t="shared" si="7"/>
        <v>12000</v>
      </c>
      <c r="M23" s="1">
        <f t="shared" si="7"/>
        <v>12000</v>
      </c>
      <c r="N23" s="1">
        <f t="shared" si="7"/>
        <v>12000</v>
      </c>
      <c r="O23" s="1">
        <f t="shared" si="7"/>
        <v>12000</v>
      </c>
      <c r="P23" s="1">
        <f t="shared" si="7"/>
        <v>0</v>
      </c>
    </row>
    <row r="24" spans="2:16" x14ac:dyDescent="0.2">
      <c r="B24" s="1" t="s">
        <v>5</v>
      </c>
      <c r="C24" s="1" t="s">
        <v>24</v>
      </c>
      <c r="D24" s="12">
        <v>0.14000000000000001</v>
      </c>
      <c r="I24"/>
      <c r="J24" s="1" t="s">
        <v>60</v>
      </c>
      <c r="K24" s="1">
        <f>-K46</f>
        <v>-22050305.339999996</v>
      </c>
      <c r="L24" s="1">
        <f t="shared" ref="L24:P25" si="8">-L46+K46</f>
        <v>-441006.10680000111</v>
      </c>
      <c r="M24" s="1">
        <f t="shared" si="8"/>
        <v>-449826.22893600166</v>
      </c>
      <c r="N24" s="1">
        <f t="shared" si="8"/>
        <v>-458822.75351471826</v>
      </c>
      <c r="O24" s="1">
        <f t="shared" si="8"/>
        <v>-467999.20858501643</v>
      </c>
      <c r="P24" s="1">
        <f t="shared" si="8"/>
        <v>-477359.19275671616</v>
      </c>
    </row>
    <row r="25" spans="2:16" x14ac:dyDescent="0.2">
      <c r="B25" s="1" t="s">
        <v>5</v>
      </c>
      <c r="C25" s="1" t="s">
        <v>141</v>
      </c>
      <c r="D25" s="11">
        <v>0.1</v>
      </c>
      <c r="H25" s="17"/>
      <c r="I25"/>
      <c r="J25" s="1" t="s">
        <v>61</v>
      </c>
      <c r="K25" s="1">
        <f>-K47</f>
        <v>-10590000</v>
      </c>
      <c r="L25" s="1">
        <f t="shared" si="8"/>
        <v>-211800</v>
      </c>
      <c r="M25" s="1">
        <f t="shared" si="8"/>
        <v>-216036</v>
      </c>
      <c r="N25" s="1">
        <f t="shared" si="8"/>
        <v>-220356.71999999881</v>
      </c>
      <c r="O25" s="1">
        <f t="shared" si="8"/>
        <v>-224763.85440000147</v>
      </c>
      <c r="P25" s="1">
        <f t="shared" si="8"/>
        <v>-229259.13148799911</v>
      </c>
    </row>
    <row r="26" spans="2:16" x14ac:dyDescent="0.2">
      <c r="B26" s="1" t="s">
        <v>13</v>
      </c>
      <c r="C26" s="1" t="s">
        <v>149</v>
      </c>
      <c r="D26" s="10">
        <v>6</v>
      </c>
      <c r="H26" s="17"/>
      <c r="J26" s="1" t="s">
        <v>62</v>
      </c>
      <c r="K26" s="1">
        <f>+K56</f>
        <v>10590000</v>
      </c>
      <c r="L26" s="1">
        <f>+L56-K56</f>
        <v>211800</v>
      </c>
      <c r="M26" s="1">
        <f>+M56-L56</f>
        <v>216036</v>
      </c>
      <c r="N26" s="1">
        <f>+N56-M56</f>
        <v>220356.71999999881</v>
      </c>
      <c r="O26" s="1">
        <f>+O56-N56</f>
        <v>224763.85440000147</v>
      </c>
      <c r="P26" s="1">
        <f>+P56-O56</f>
        <v>229259.13148799911</v>
      </c>
    </row>
    <row r="27" spans="2:16" x14ac:dyDescent="0.2">
      <c r="B27" s="1" t="s">
        <v>13</v>
      </c>
      <c r="C27" s="1" t="s">
        <v>150</v>
      </c>
      <c r="D27" s="10">
        <v>2</v>
      </c>
    </row>
    <row r="28" spans="2:16" x14ac:dyDescent="0.2">
      <c r="B28" s="1" t="s">
        <v>152</v>
      </c>
      <c r="C28" s="52" t="s">
        <v>19</v>
      </c>
      <c r="D28" s="52">
        <f>+D16*D10*D26*(1-D25)*-1</f>
        <v>-372452.41800000006</v>
      </c>
      <c r="F28" s="52">
        <f>+D16*D10*(1-D25)*-1</f>
        <v>-62075.403000000013</v>
      </c>
      <c r="J28" s="1" t="s">
        <v>104</v>
      </c>
      <c r="K28" s="1">
        <f t="shared" ref="K28:P28" si="9">+SUM(K22:K26)</f>
        <v>-20784847.770240001</v>
      </c>
      <c r="L28" s="1">
        <f t="shared" si="9"/>
        <v>879123.8143551948</v>
      </c>
      <c r="M28" s="1">
        <f t="shared" si="9"/>
        <v>1554465.3174495324</v>
      </c>
      <c r="N28" s="1">
        <f t="shared" si="9"/>
        <v>2606980.1124551478</v>
      </c>
      <c r="O28" s="1">
        <f t="shared" si="9"/>
        <v>4439362.7039730204</v>
      </c>
      <c r="P28" s="1">
        <f t="shared" si="9"/>
        <v>4647956.9710510969</v>
      </c>
    </row>
    <row r="29" spans="2:16" x14ac:dyDescent="0.2">
      <c r="B29" s="1" t="s">
        <v>152</v>
      </c>
      <c r="C29" s="52" t="s">
        <v>151</v>
      </c>
      <c r="D29" s="47">
        <f>+F29*D26</f>
        <v>-63540000</v>
      </c>
      <c r="F29" s="52">
        <f>+D10*(D9+D8)*-1</f>
        <v>-10590000</v>
      </c>
      <c r="I29"/>
      <c r="J29"/>
      <c r="K29" s="17"/>
      <c r="L29" s="17"/>
    </row>
    <row r="30" spans="2:16" x14ac:dyDescent="0.2">
      <c r="B30" s="5" t="s">
        <v>26</v>
      </c>
      <c r="C30" s="5" t="s">
        <v>3</v>
      </c>
      <c r="D30" s="5" t="s">
        <v>97</v>
      </c>
      <c r="E30"/>
      <c r="F30" s="5" t="s">
        <v>41</v>
      </c>
      <c r="I30"/>
      <c r="J30" s="1" t="s">
        <v>63</v>
      </c>
      <c r="K30" s="1">
        <f>-D45</f>
        <v>-60000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2:16" x14ac:dyDescent="0.2">
      <c r="B31" s="1" t="s">
        <v>5</v>
      </c>
      <c r="C31" s="1" t="s">
        <v>36</v>
      </c>
      <c r="D31" s="11">
        <v>0.02</v>
      </c>
      <c r="I31"/>
      <c r="J31" s="1" t="s">
        <v>64</v>
      </c>
      <c r="K31" s="1">
        <f>+K30</f>
        <v>-60000</v>
      </c>
      <c r="L31" s="1">
        <f t="shared" ref="L31:P31" si="10">+L30</f>
        <v>0</v>
      </c>
      <c r="M31" s="1">
        <f t="shared" si="10"/>
        <v>0</v>
      </c>
      <c r="N31" s="1">
        <f t="shared" si="10"/>
        <v>0</v>
      </c>
      <c r="O31" s="1">
        <f t="shared" si="10"/>
        <v>0</v>
      </c>
      <c r="P31" s="1">
        <f t="shared" si="10"/>
        <v>0</v>
      </c>
    </row>
    <row r="32" spans="2:16" x14ac:dyDescent="0.2">
      <c r="I32"/>
    </row>
    <row r="33" spans="2:18" x14ac:dyDescent="0.2">
      <c r="B33" s="5"/>
      <c r="C33" s="24" t="s">
        <v>71</v>
      </c>
      <c r="D33" s="24"/>
      <c r="F33"/>
      <c r="I33"/>
      <c r="J33" s="1" t="s">
        <v>55</v>
      </c>
      <c r="K33" s="1">
        <f>+D52</f>
        <v>2000</v>
      </c>
    </row>
    <row r="34" spans="2:18" x14ac:dyDescent="0.2">
      <c r="B34" s="1" t="s">
        <v>13</v>
      </c>
      <c r="C34" s="1" t="s">
        <v>92</v>
      </c>
      <c r="D34" s="10">
        <v>2</v>
      </c>
      <c r="F34" t="b">
        <f>+D26&gt;=D34</f>
        <v>1</v>
      </c>
      <c r="I34"/>
      <c r="J34" s="1" t="s">
        <v>65</v>
      </c>
      <c r="K34" s="1">
        <f>+D13*D10*(1-D25)*$D$34</f>
        <v>19100124</v>
      </c>
      <c r="L34" s="1">
        <f>+K34*(1+$D$31)</f>
        <v>19482126.48</v>
      </c>
      <c r="M34" s="1">
        <f>+L34*(1+$D$31)</f>
        <v>19871769.009600002</v>
      </c>
      <c r="N34" s="1">
        <f>+M34*(1+$D$31)</f>
        <v>20269204.389792003</v>
      </c>
      <c r="O34" s="1">
        <f>+N34*(1+$D$31)</f>
        <v>20674588.477587841</v>
      </c>
      <c r="P34" s="1">
        <f>+O34*(1+$D$31)</f>
        <v>21088080.247139599</v>
      </c>
      <c r="R34" s="53" t="s">
        <v>155</v>
      </c>
    </row>
    <row r="35" spans="2:18" x14ac:dyDescent="0.2">
      <c r="B35" s="54" t="s">
        <v>152</v>
      </c>
      <c r="C35" s="52" t="s">
        <v>157</v>
      </c>
      <c r="D35" s="52">
        <f>+SUMIF(K36:P36,"&gt;0")</f>
        <v>1800000</v>
      </c>
      <c r="F35"/>
      <c r="I35"/>
      <c r="J35" s="1" t="s">
        <v>66</v>
      </c>
      <c r="K35" s="1">
        <v>0</v>
      </c>
      <c r="L35" s="1">
        <f>-K34</f>
        <v>-19100124</v>
      </c>
      <c r="M35" s="1">
        <f>-L34</f>
        <v>-19482126.48</v>
      </c>
      <c r="N35" s="1">
        <f>-M34</f>
        <v>-19871769.009600002</v>
      </c>
      <c r="O35" s="1">
        <f>-N34</f>
        <v>-20269204.389792003</v>
      </c>
      <c r="P35" s="1">
        <f>-O34</f>
        <v>-20674588.477587841</v>
      </c>
      <c r="R35" s="53" t="s">
        <v>154</v>
      </c>
    </row>
    <row r="36" spans="2:18" x14ac:dyDescent="0.2">
      <c r="I36"/>
      <c r="J36" s="1" t="s">
        <v>156</v>
      </c>
      <c r="K36" s="10">
        <v>1800000</v>
      </c>
      <c r="L36" s="10">
        <v>-1300000</v>
      </c>
      <c r="M36" s="10">
        <v>-500000</v>
      </c>
      <c r="N36" s="10"/>
      <c r="O36" s="10"/>
      <c r="P36" s="10"/>
      <c r="R36" s="4">
        <f>+SUM(K36:P36)</f>
        <v>0</v>
      </c>
    </row>
    <row r="37" spans="2:18" x14ac:dyDescent="0.2">
      <c r="B37" s="5"/>
      <c r="C37" s="24" t="s">
        <v>101</v>
      </c>
      <c r="D37" s="24"/>
      <c r="J37"/>
      <c r="K37"/>
      <c r="L37"/>
      <c r="M37"/>
      <c r="N37"/>
      <c r="O37"/>
      <c r="P37"/>
    </row>
    <row r="38" spans="2:18" x14ac:dyDescent="0.2">
      <c r="B38" s="1" t="s">
        <v>13</v>
      </c>
      <c r="C38" s="1" t="s">
        <v>93</v>
      </c>
      <c r="D38" s="10">
        <v>2</v>
      </c>
      <c r="F38" t="b">
        <f>+D26&gt;=D38</f>
        <v>1</v>
      </c>
      <c r="I38"/>
      <c r="J38" s="1" t="s">
        <v>67</v>
      </c>
      <c r="K38" s="1">
        <f t="shared" ref="K38:P38" si="11">+SUM(K33:K37)</f>
        <v>20902124</v>
      </c>
      <c r="L38" s="1">
        <f t="shared" si="11"/>
        <v>-917997.51999999955</v>
      </c>
      <c r="M38" s="1">
        <f t="shared" si="11"/>
        <v>-110357.47039999813</v>
      </c>
      <c r="N38" s="1">
        <f t="shared" si="11"/>
        <v>397435.38019200042</v>
      </c>
      <c r="O38" s="1">
        <f t="shared" si="11"/>
        <v>405384.08779583871</v>
      </c>
      <c r="P38" s="1">
        <f t="shared" si="11"/>
        <v>413491.76955175772</v>
      </c>
    </row>
    <row r="39" spans="2:18" x14ac:dyDescent="0.2">
      <c r="B39" s="1" t="s">
        <v>13</v>
      </c>
      <c r="C39" s="1" t="s">
        <v>94</v>
      </c>
      <c r="D39" s="10">
        <v>1</v>
      </c>
      <c r="F39" t="b">
        <f>+D27&gt;=D39</f>
        <v>1</v>
      </c>
      <c r="I39"/>
    </row>
    <row r="40" spans="2:18" x14ac:dyDescent="0.2">
      <c r="C40"/>
      <c r="D40"/>
      <c r="F40"/>
      <c r="I40"/>
      <c r="J40" s="1" t="s">
        <v>68</v>
      </c>
      <c r="K40" s="1">
        <v>0</v>
      </c>
      <c r="L40" s="1">
        <f>+K42</f>
        <v>57276.22975999862</v>
      </c>
      <c r="M40" s="1">
        <f>+L42</f>
        <v>18402.524115193868</v>
      </c>
      <c r="N40" s="1">
        <f>+M42</f>
        <v>1462510.3711647282</v>
      </c>
      <c r="O40" s="1">
        <f>+N42</f>
        <v>4466925.8638118766</v>
      </c>
      <c r="P40" s="1">
        <f>+O42</f>
        <v>9311672.6555807367</v>
      </c>
    </row>
    <row r="41" spans="2:18" x14ac:dyDescent="0.2">
      <c r="B41" s="5"/>
      <c r="C41" s="24" t="s">
        <v>102</v>
      </c>
      <c r="D41" s="24"/>
      <c r="F41"/>
      <c r="J41" s="1" t="s">
        <v>69</v>
      </c>
      <c r="K41" s="1">
        <f t="shared" ref="K41:P41" si="12">+K28+K31+K38</f>
        <v>57276.22975999862</v>
      </c>
      <c r="L41" s="1">
        <f t="shared" si="12"/>
        <v>-38873.705644804752</v>
      </c>
      <c r="M41" s="1">
        <f t="shared" si="12"/>
        <v>1444107.8470495343</v>
      </c>
      <c r="N41" s="1">
        <f t="shared" si="12"/>
        <v>3004415.4926471482</v>
      </c>
      <c r="O41" s="1">
        <f t="shared" si="12"/>
        <v>4844746.7917688591</v>
      </c>
      <c r="P41" s="1">
        <f t="shared" si="12"/>
        <v>5061448.7406028546</v>
      </c>
    </row>
    <row r="42" spans="2:18" x14ac:dyDescent="0.2">
      <c r="B42" s="1" t="s">
        <v>13</v>
      </c>
      <c r="C42" s="1" t="s">
        <v>93</v>
      </c>
      <c r="D42" s="10">
        <v>1</v>
      </c>
      <c r="F42" t="b">
        <f>+D26&gt;=D42</f>
        <v>1</v>
      </c>
      <c r="J42" s="1" t="s">
        <v>70</v>
      </c>
      <c r="K42" s="1">
        <f t="shared" ref="K42:P42" si="13">+SUM(K40:K41)</f>
        <v>57276.22975999862</v>
      </c>
      <c r="L42" s="1">
        <f t="shared" si="13"/>
        <v>18402.524115193868</v>
      </c>
      <c r="M42" s="1">
        <f t="shared" si="13"/>
        <v>1462510.3711647282</v>
      </c>
      <c r="N42" s="1">
        <f t="shared" si="13"/>
        <v>4466925.8638118766</v>
      </c>
      <c r="O42" s="1">
        <f t="shared" si="13"/>
        <v>9311672.6555807367</v>
      </c>
      <c r="P42" s="1">
        <f t="shared" si="13"/>
        <v>14373121.396183591</v>
      </c>
    </row>
    <row r="43" spans="2:18" x14ac:dyDescent="0.2">
      <c r="D43"/>
      <c r="G43"/>
    </row>
    <row r="44" spans="2:18" x14ac:dyDescent="0.2">
      <c r="B44" s="5"/>
      <c r="C44" s="24" t="s">
        <v>46</v>
      </c>
      <c r="D44" s="24"/>
      <c r="G44"/>
      <c r="I44" s="4" t="s">
        <v>99</v>
      </c>
    </row>
    <row r="45" spans="2:18" x14ac:dyDescent="0.2">
      <c r="B45" s="1" t="s">
        <v>95</v>
      </c>
      <c r="C45" s="3" t="s">
        <v>47</v>
      </c>
      <c r="D45" s="10">
        <v>60000</v>
      </c>
      <c r="G45"/>
      <c r="J45" s="1" t="s">
        <v>43</v>
      </c>
      <c r="K45" s="1">
        <f t="shared" ref="K45:P45" si="14">+K42</f>
        <v>57276.22975999862</v>
      </c>
      <c r="L45" s="1">
        <f t="shared" si="14"/>
        <v>18402.524115193868</v>
      </c>
      <c r="M45" s="1">
        <f t="shared" si="14"/>
        <v>1462510.3711647282</v>
      </c>
      <c r="N45" s="1">
        <f t="shared" si="14"/>
        <v>4466925.8638118766</v>
      </c>
      <c r="O45" s="1">
        <f t="shared" si="14"/>
        <v>9311672.6555807367</v>
      </c>
      <c r="P45" s="1">
        <f t="shared" si="14"/>
        <v>14373121.396183591</v>
      </c>
    </row>
    <row r="46" spans="2:18" x14ac:dyDescent="0.2">
      <c r="B46" s="1" t="s">
        <v>5</v>
      </c>
      <c r="C46" s="6" t="s">
        <v>48</v>
      </c>
      <c r="D46" s="11">
        <v>0.2</v>
      </c>
      <c r="E46"/>
      <c r="F46" s="6"/>
      <c r="G46"/>
      <c r="J46" s="1" t="s">
        <v>40</v>
      </c>
      <c r="K46" s="1">
        <f t="shared" ref="K46" si="15">+K10*($D$38/$D$26)+K11*($D$39/$D$27)</f>
        <v>22050305.339999996</v>
      </c>
      <c r="L46" s="1">
        <f>+L10*($D$38/L5)+L11*($D$39/L6)</f>
        <v>22491311.446799997</v>
      </c>
      <c r="M46" s="1">
        <f>+M10*($D$38/M5)+M11*($D$39/M6)</f>
        <v>22941137.675735999</v>
      </c>
      <c r="N46" s="1">
        <f>+N10*($D$38/N5)+N11*($D$39/N6)</f>
        <v>23399960.429250717</v>
      </c>
      <c r="O46" s="1">
        <f>+O10*($D$38/O5)+O11*($D$39/O6)</f>
        <v>23867959.637835734</v>
      </c>
      <c r="P46" s="1">
        <f>+P10*($D$38/P5)+P11*($D$39/P6)</f>
        <v>24345318.83059245</v>
      </c>
    </row>
    <row r="47" spans="2:18" x14ac:dyDescent="0.2">
      <c r="E47"/>
      <c r="G47"/>
      <c r="J47" s="1" t="s">
        <v>42</v>
      </c>
      <c r="K47" s="1">
        <f t="shared" ref="K47" si="16">-K12*($D$42/$D$26)</f>
        <v>10590000</v>
      </c>
      <c r="L47" s="1">
        <f>-L12*($D$42/L5)</f>
        <v>10801800</v>
      </c>
      <c r="M47" s="1">
        <f>-M12*($D$42/M5)</f>
        <v>11017836</v>
      </c>
      <c r="N47" s="1">
        <f>-N12*($D$42/N5)</f>
        <v>11238192.719999999</v>
      </c>
      <c r="O47" s="1">
        <f>-O12*($D$42/O5)</f>
        <v>11462956.5744</v>
      </c>
      <c r="P47" s="1">
        <f>-P12*($D$42/P5)</f>
        <v>11692215.705887999</v>
      </c>
    </row>
    <row r="48" spans="2:18" x14ac:dyDescent="0.2">
      <c r="B48" s="5"/>
      <c r="C48" s="24" t="s">
        <v>103</v>
      </c>
      <c r="D48" s="24"/>
      <c r="E48"/>
      <c r="G48"/>
      <c r="J48" s="1" t="s">
        <v>44</v>
      </c>
      <c r="K48" s="17">
        <f t="shared" ref="K48:P48" si="17">+SUM(K45:K47)</f>
        <v>32697581.569759995</v>
      </c>
      <c r="L48" s="17">
        <f t="shared" si="17"/>
        <v>33311513.970915191</v>
      </c>
      <c r="M48" s="17">
        <f t="shared" si="17"/>
        <v>35421484.046900727</v>
      </c>
      <c r="N48" s="17">
        <f t="shared" si="17"/>
        <v>39105079.013062596</v>
      </c>
      <c r="O48" s="17">
        <f t="shared" si="17"/>
        <v>44642588.867816471</v>
      </c>
      <c r="P48" s="17">
        <f t="shared" si="17"/>
        <v>50410655.932664037</v>
      </c>
    </row>
    <row r="49" spans="2:16" x14ac:dyDescent="0.2">
      <c r="B49" s="1" t="s">
        <v>13</v>
      </c>
      <c r="C49" s="1" t="s">
        <v>93</v>
      </c>
      <c r="D49" s="10">
        <v>1</v>
      </c>
      <c r="E49"/>
      <c r="F49" t="b">
        <f>+D26&gt;=D49</f>
        <v>1</v>
      </c>
      <c r="G49"/>
      <c r="J49"/>
      <c r="K49"/>
      <c r="L49"/>
    </row>
    <row r="50" spans="2:16" x14ac:dyDescent="0.2">
      <c r="E50"/>
      <c r="G50"/>
      <c r="J50" s="1" t="s">
        <v>45</v>
      </c>
      <c r="K50" s="17">
        <f>+D45</f>
        <v>60000</v>
      </c>
      <c r="L50" s="17">
        <f>+K50</f>
        <v>60000</v>
      </c>
      <c r="M50" s="17">
        <f>+L50</f>
        <v>60000</v>
      </c>
      <c r="N50" s="17">
        <f>+M50</f>
        <v>60000</v>
      </c>
      <c r="O50" s="17">
        <f>+N50</f>
        <v>60000</v>
      </c>
      <c r="P50" s="17">
        <v>0</v>
      </c>
    </row>
    <row r="51" spans="2:16" x14ac:dyDescent="0.2">
      <c r="B51" s="5"/>
      <c r="C51" s="24" t="s">
        <v>54</v>
      </c>
      <c r="D51" s="24"/>
      <c r="E51"/>
      <c r="G51"/>
      <c r="J51" s="1" t="s">
        <v>49</v>
      </c>
      <c r="K51" s="6">
        <f>-K50*$D$46</f>
        <v>-12000</v>
      </c>
      <c r="L51" s="6">
        <f>+K51-$D$46*$D$45</f>
        <v>-24000</v>
      </c>
      <c r="M51" s="6">
        <f>+L51-$D$46*$D$45</f>
        <v>-36000</v>
      </c>
      <c r="N51" s="6">
        <f>+M51-$D$46*$D$45</f>
        <v>-48000</v>
      </c>
      <c r="O51" s="6">
        <f>+N51-$D$46*$D$45</f>
        <v>-60000</v>
      </c>
      <c r="P51" s="6">
        <v>0</v>
      </c>
    </row>
    <row r="52" spans="2:16" x14ac:dyDescent="0.2">
      <c r="B52" s="1" t="s">
        <v>95</v>
      </c>
      <c r="C52" s="1" t="s">
        <v>55</v>
      </c>
      <c r="D52" s="10">
        <v>2000</v>
      </c>
      <c r="E52"/>
      <c r="G52"/>
      <c r="J52" s="1" t="s">
        <v>50</v>
      </c>
      <c r="K52" s="6">
        <f>+SUM(K50:K51)</f>
        <v>48000</v>
      </c>
      <c r="L52" s="6">
        <f>+SUM(L50:L51)</f>
        <v>36000</v>
      </c>
      <c r="M52" s="6">
        <f>+SUM(M50:M51)</f>
        <v>24000</v>
      </c>
      <c r="N52" s="6">
        <f>+SUM(N50:N51)</f>
        <v>12000</v>
      </c>
      <c r="O52" s="6">
        <f>+SUM(O50:O51)</f>
        <v>0</v>
      </c>
      <c r="P52" s="6">
        <v>0</v>
      </c>
    </row>
    <row r="53" spans="2:16" x14ac:dyDescent="0.2">
      <c r="C53"/>
      <c r="D53"/>
      <c r="E53"/>
      <c r="F53"/>
      <c r="G53"/>
      <c r="J53"/>
      <c r="K53" s="6"/>
      <c r="L53" s="6"/>
      <c r="M53" s="6"/>
      <c r="N53" s="6"/>
      <c r="O53" s="6"/>
      <c r="P53" s="6"/>
    </row>
    <row r="54" spans="2:16" x14ac:dyDescent="0.2">
      <c r="B54" s="48"/>
      <c r="C54" s="24" t="s">
        <v>148</v>
      </c>
      <c r="D54" s="24"/>
      <c r="E54"/>
      <c r="F54"/>
      <c r="G54"/>
      <c r="J54" s="1" t="s">
        <v>51</v>
      </c>
      <c r="K54" s="6">
        <f t="shared" ref="K54:P54" si="18">+K52+K48</f>
        <v>32745581.569759995</v>
      </c>
      <c r="L54" s="6">
        <f t="shared" si="18"/>
        <v>33347513.970915191</v>
      </c>
      <c r="M54" s="6">
        <f t="shared" si="18"/>
        <v>35445484.046900727</v>
      </c>
      <c r="N54" s="6">
        <f t="shared" si="18"/>
        <v>39117079.013062596</v>
      </c>
      <c r="O54" s="6">
        <f t="shared" si="18"/>
        <v>44642588.867816471</v>
      </c>
      <c r="P54" s="6">
        <f t="shared" si="18"/>
        <v>50410655.932664037</v>
      </c>
    </row>
    <row r="55" spans="2:16" x14ac:dyDescent="0.2">
      <c r="B55" s="1" t="s">
        <v>95</v>
      </c>
      <c r="C55" s="1" t="s">
        <v>153</v>
      </c>
      <c r="D55" s="11">
        <v>2.5000000000000001E-2</v>
      </c>
      <c r="E55"/>
      <c r="F55"/>
      <c r="J55" s="4"/>
      <c r="K55" s="6"/>
      <c r="L55" s="6"/>
      <c r="M55" s="6"/>
      <c r="N55" s="6"/>
      <c r="O55" s="6"/>
      <c r="P55" s="6"/>
    </row>
    <row r="56" spans="2:16" x14ac:dyDescent="0.2">
      <c r="E56"/>
      <c r="F56"/>
      <c r="J56" s="1" t="s">
        <v>52</v>
      </c>
      <c r="K56" s="6">
        <f t="shared" ref="K56" si="19">-K12*($D$49/$D$26)</f>
        <v>10590000</v>
      </c>
      <c r="L56" s="6">
        <f>-L12*($D$49/L5)</f>
        <v>10801800</v>
      </c>
      <c r="M56" s="6">
        <f>-M12*($D$49/M5)</f>
        <v>11017836</v>
      </c>
      <c r="N56" s="6">
        <f>-N12*($D$49/N5)</f>
        <v>11238192.719999999</v>
      </c>
      <c r="O56" s="6">
        <f>-O12*($D$49/O5)</f>
        <v>11462956.5744</v>
      </c>
      <c r="P56" s="6">
        <f>-P12*($D$49/P5)</f>
        <v>11692215.705887999</v>
      </c>
    </row>
    <row r="57" spans="2:16" x14ac:dyDescent="0.2">
      <c r="B57" s="1" t="s">
        <v>138</v>
      </c>
      <c r="C57"/>
      <c r="D57" s="17"/>
      <c r="J57" s="1" t="s">
        <v>73</v>
      </c>
      <c r="K57" s="1">
        <f t="shared" ref="K57:P57" si="20">+K34</f>
        <v>19100124</v>
      </c>
      <c r="L57" s="1">
        <f t="shared" si="20"/>
        <v>19482126.48</v>
      </c>
      <c r="M57" s="1">
        <f t="shared" si="20"/>
        <v>19871769.009600002</v>
      </c>
      <c r="N57" s="1">
        <f t="shared" si="20"/>
        <v>20269204.389792003</v>
      </c>
      <c r="O57" s="1">
        <f t="shared" si="20"/>
        <v>20674588.477587841</v>
      </c>
      <c r="P57" s="1">
        <f t="shared" si="20"/>
        <v>21088080.247139599</v>
      </c>
    </row>
    <row r="58" spans="2:16" x14ac:dyDescent="0.2">
      <c r="C58" t="s">
        <v>139</v>
      </c>
      <c r="D58" s="17">
        <f>+K46/K10*365</f>
        <v>124.20135305828042</v>
      </c>
      <c r="J58" s="1" t="s">
        <v>105</v>
      </c>
      <c r="K58" s="1">
        <f>+IF(K36&gt;0,K36,0)</f>
        <v>1800000</v>
      </c>
      <c r="L58" s="1">
        <f>+L36+SUM($K$36:K36)</f>
        <v>500000</v>
      </c>
      <c r="M58" s="1">
        <f>+M36+SUM($K$36:L36)</f>
        <v>0</v>
      </c>
      <c r="N58" s="1">
        <f>+N36+SUM($K$36:M36)</f>
        <v>0</v>
      </c>
      <c r="O58" s="1">
        <f>+O36+SUM($K$36:N36)</f>
        <v>0</v>
      </c>
      <c r="P58" s="1">
        <f>+P36+SUM($K$36:O36)</f>
        <v>0</v>
      </c>
    </row>
    <row r="59" spans="2:16" x14ac:dyDescent="0.2">
      <c r="C59" t="s">
        <v>102</v>
      </c>
      <c r="D59" s="17">
        <f>-K47/K12*365</f>
        <v>60.833333333333329</v>
      </c>
      <c r="J59" s="1" t="s">
        <v>80</v>
      </c>
      <c r="K59" s="1">
        <f t="shared" ref="K59:P59" si="21">+SUM(K56:K58)</f>
        <v>31490124</v>
      </c>
      <c r="L59" s="1">
        <f t="shared" si="21"/>
        <v>30783926.48</v>
      </c>
      <c r="M59" s="1">
        <f t="shared" si="21"/>
        <v>30889605.009600002</v>
      </c>
      <c r="N59" s="1">
        <f t="shared" si="21"/>
        <v>31507397.109792002</v>
      </c>
      <c r="O59" s="1">
        <f t="shared" si="21"/>
        <v>32137545.051987842</v>
      </c>
      <c r="P59" s="1">
        <f t="shared" si="21"/>
        <v>32780295.953027599</v>
      </c>
    </row>
    <row r="60" spans="2:16" x14ac:dyDescent="0.2">
      <c r="C60" s="50" t="s">
        <v>140</v>
      </c>
      <c r="D60" s="1">
        <f>-K56/K12*365</f>
        <v>60.833333333333329</v>
      </c>
    </row>
    <row r="61" spans="2:16" x14ac:dyDescent="0.2">
      <c r="J61" s="49" t="s">
        <v>53</v>
      </c>
    </row>
    <row r="62" spans="2:16" x14ac:dyDescent="0.2">
      <c r="J62" s="1" t="s">
        <v>56</v>
      </c>
      <c r="K62" s="1">
        <f>+D52</f>
        <v>2000</v>
      </c>
      <c r="L62" s="1">
        <f>+K62</f>
        <v>2000</v>
      </c>
      <c r="M62" s="1">
        <f>+L62</f>
        <v>2000</v>
      </c>
      <c r="N62" s="1">
        <f>+M62</f>
        <v>2000</v>
      </c>
      <c r="O62" s="1">
        <f>+N62</f>
        <v>2000</v>
      </c>
      <c r="P62" s="1">
        <f>+O62</f>
        <v>2000</v>
      </c>
    </row>
    <row r="63" spans="2:16" x14ac:dyDescent="0.2">
      <c r="J63" s="1" t="s">
        <v>72</v>
      </c>
      <c r="K63" s="1">
        <f t="shared" ref="K63:P63" si="22">+K19</f>
        <v>1253457.5697599964</v>
      </c>
      <c r="L63" s="1">
        <f t="shared" si="22"/>
        <v>1308129.9211551959</v>
      </c>
      <c r="M63" s="1">
        <f t="shared" si="22"/>
        <v>1992291.5463855341</v>
      </c>
      <c r="N63" s="1">
        <f t="shared" si="22"/>
        <v>3053802.865969866</v>
      </c>
      <c r="O63" s="1">
        <f t="shared" si="22"/>
        <v>4895361.9125580369</v>
      </c>
      <c r="P63" s="1">
        <f t="shared" si="22"/>
        <v>5125316.1638078131</v>
      </c>
    </row>
    <row r="64" spans="2:16" x14ac:dyDescent="0.2">
      <c r="J64" s="1" t="s">
        <v>58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J65" s="1" t="s">
        <v>57</v>
      </c>
      <c r="K65" s="1">
        <f>+SUM(K63:K64)</f>
        <v>1253457.5697599964</v>
      </c>
      <c r="L65" s="1">
        <f>+K65+SUM(L63:L64)</f>
        <v>2561587.4909151923</v>
      </c>
      <c r="M65" s="1">
        <f>+L65+SUM(M63:M64)</f>
        <v>4553879.0373007264</v>
      </c>
      <c r="N65" s="1">
        <f>+M65+SUM(N63:N64)</f>
        <v>7607681.9032705929</v>
      </c>
      <c r="O65" s="1">
        <f>+N65+SUM(O63:O64)</f>
        <v>12503043.815828629</v>
      </c>
      <c r="P65" s="1">
        <f>+O65+SUM(P63:P64)</f>
        <v>17628359.979636442</v>
      </c>
    </row>
    <row r="66" spans="1:16" x14ac:dyDescent="0.2">
      <c r="J66" s="1" t="s">
        <v>59</v>
      </c>
      <c r="K66" s="1">
        <f t="shared" ref="K66:P66" si="23">+SUM(K64:K65)+K62</f>
        <v>1255457.5697599964</v>
      </c>
      <c r="L66" s="1">
        <f t="shared" si="23"/>
        <v>2563587.4909151923</v>
      </c>
      <c r="M66" s="1">
        <f t="shared" si="23"/>
        <v>4555879.0373007264</v>
      </c>
      <c r="N66" s="1">
        <f t="shared" si="23"/>
        <v>7609681.9032705929</v>
      </c>
      <c r="O66" s="1">
        <f t="shared" si="23"/>
        <v>12505043.815828629</v>
      </c>
      <c r="P66" s="1">
        <f t="shared" si="23"/>
        <v>17630359.979636442</v>
      </c>
    </row>
    <row r="68" spans="1:16" x14ac:dyDescent="0.2">
      <c r="J68" s="19" t="s">
        <v>74</v>
      </c>
      <c r="K68" s="20">
        <f t="shared" ref="K68:P68" si="24">+K54-(K59+K66)</f>
        <v>0</v>
      </c>
      <c r="L68" s="20">
        <f t="shared" si="24"/>
        <v>0</v>
      </c>
      <c r="M68" s="20">
        <f t="shared" si="24"/>
        <v>0</v>
      </c>
      <c r="N68" s="20">
        <f t="shared" si="24"/>
        <v>0</v>
      </c>
      <c r="O68" s="20">
        <f t="shared" si="24"/>
        <v>0</v>
      </c>
      <c r="P68" s="21">
        <f t="shared" si="24"/>
        <v>0</v>
      </c>
    </row>
    <row r="69" spans="1:16" x14ac:dyDescent="0.2">
      <c r="J69" s="22" t="s">
        <v>75</v>
      </c>
      <c r="K69" s="15">
        <f>+K41-K45</f>
        <v>0</v>
      </c>
      <c r="L69" s="15">
        <f>+L41-L45+K45</f>
        <v>0</v>
      </c>
      <c r="M69" s="15">
        <f>+M41-M45+L45</f>
        <v>0</v>
      </c>
      <c r="N69" s="15">
        <f>+N41-N45+M45</f>
        <v>0</v>
      </c>
      <c r="O69" s="15">
        <f>+O41-O45+N45</f>
        <v>0</v>
      </c>
      <c r="P69" s="23">
        <f>+P41-P45+O45</f>
        <v>0</v>
      </c>
    </row>
    <row r="71" spans="1:16" x14ac:dyDescent="0.2">
      <c r="A71" s="28"/>
      <c r="B71" s="28"/>
      <c r="C71" s="28"/>
      <c r="D71" s="28"/>
      <c r="E71" s="28"/>
      <c r="F71" s="28"/>
      <c r="G71" s="28"/>
      <c r="I71" s="28" t="s">
        <v>158</v>
      </c>
      <c r="J71" s="28"/>
      <c r="K71" s="36"/>
      <c r="L71" s="36"/>
      <c r="M71" s="36"/>
      <c r="N71" s="36"/>
      <c r="O71" s="36"/>
      <c r="P71" s="36"/>
    </row>
    <row r="72" spans="1:16" x14ac:dyDescent="0.2">
      <c r="J72" s="34" t="s">
        <v>96</v>
      </c>
      <c r="K72" s="62" t="str">
        <f t="shared" ref="K72:P72" si="25">+K9</f>
        <v>Year 0</v>
      </c>
      <c r="L72" s="62" t="str">
        <f t="shared" si="25"/>
        <v>Year 1</v>
      </c>
      <c r="M72" s="62" t="str">
        <f t="shared" si="25"/>
        <v>Year 2</v>
      </c>
      <c r="N72" s="62" t="str">
        <f t="shared" si="25"/>
        <v>Year 3</v>
      </c>
      <c r="O72" s="62" t="str">
        <f t="shared" si="25"/>
        <v>Year 4</v>
      </c>
      <c r="P72" s="62" t="str">
        <f t="shared" si="25"/>
        <v>Year 5</v>
      </c>
    </row>
    <row r="73" spans="1:16" x14ac:dyDescent="0.2">
      <c r="J73" s="1" t="s">
        <v>159</v>
      </c>
      <c r="L73" s="55" cm="1">
        <f t="array" ref="L73">+SUM(L10:L11/SUM(K10:K11))-1</f>
        <v>2.0000000000000018E-2</v>
      </c>
      <c r="M73" s="55" cm="1">
        <f t="array" ref="M73">+SUM(M10:M11/SUM(L10:L11))-1</f>
        <v>-0.30137012276012409</v>
      </c>
      <c r="N73" s="55" cm="1">
        <f t="array" ref="N73">+SUM(N10:N11/SUM(M10:M11))-1</f>
        <v>0.53</v>
      </c>
      <c r="O73" s="55" cm="1">
        <f t="array" ref="O73">+SUM(O10:O11/SUM(N10:N11))-1</f>
        <v>1.6656007382342488</v>
      </c>
      <c r="P73" s="55" cm="1">
        <f t="array" ref="P73">+SUM(P10:P11/SUM(O10:O11))-1</f>
        <v>-0.47438797129146693</v>
      </c>
    </row>
    <row r="74" spans="1:16" x14ac:dyDescent="0.2">
      <c r="J74" s="1" t="s">
        <v>160</v>
      </c>
      <c r="L74" s="55">
        <f>+(L104+L110)/(K104+K110)-1</f>
        <v>1.9999999999999796E-2</v>
      </c>
      <c r="M74" s="55">
        <f>+(M104+M110)/(L104+L110)-1</f>
        <v>0.34025257185368729</v>
      </c>
      <c r="N74" s="55">
        <f>+(N104+N110)/(M104+M110)-1</f>
        <v>0.52999999999999958</v>
      </c>
      <c r="O74" s="55">
        <f>+(O104+O110)/(N104+N110)-1</f>
        <v>0.71502879168616795</v>
      </c>
      <c r="P74" s="55">
        <f>+(P104+P110)/(O104+O110)-1</f>
        <v>-4.1725907992354871E-2</v>
      </c>
    </row>
    <row r="75" spans="1:16" x14ac:dyDescent="0.2">
      <c r="J75" s="1" t="s">
        <v>161</v>
      </c>
      <c r="L75" s="55">
        <f>+L28/K28-1</f>
        <v>-1.042296379750923</v>
      </c>
      <c r="M75" s="55">
        <f>+M28/L28-1</f>
        <v>0.76819839488670438</v>
      </c>
      <c r="N75" s="55">
        <f>+N28/M28-1</f>
        <v>0.67709120505339704</v>
      </c>
      <c r="O75" s="55">
        <f>+O28/N28-1</f>
        <v>0.70287555427195381</v>
      </c>
      <c r="P75" s="55">
        <f>+P28/O28-1</f>
        <v>4.6987435131487398E-2</v>
      </c>
    </row>
    <row r="76" spans="1:16" x14ac:dyDescent="0.2">
      <c r="J76" s="1" t="s">
        <v>162</v>
      </c>
      <c r="L76" s="55">
        <f>(L28-SUM(L24:L26))/(K28-SUM(K24:K26))-1</f>
        <v>4.3203622706662781E-2</v>
      </c>
      <c r="M76" s="55">
        <f>(M28-SUM(M24:M26))/(L28-SUM(L24:L26))-1</f>
        <v>0.51825325240083497</v>
      </c>
      <c r="N76" s="55">
        <f>(N28-SUM(N24:N26))/(M28-SUM(M24:M26))-1</f>
        <v>0.52961921707379478</v>
      </c>
      <c r="O76" s="55">
        <f>(O28-SUM(O24:O26))/(N28-SUM(N24:N26))-1</f>
        <v>0.60067758009796046</v>
      </c>
      <c r="P76" s="55">
        <f>(P28-SUM(P24:P26))/(O28-SUM(O24:O26))-1</f>
        <v>4.4413730866685652E-2</v>
      </c>
    </row>
    <row r="77" spans="1:16" x14ac:dyDescent="0.2">
      <c r="J77" s="1" t="s">
        <v>163</v>
      </c>
      <c r="L77" s="55">
        <f>+L19/K19-1</f>
        <v>4.3617233414345202E-2</v>
      </c>
      <c r="M77" s="55">
        <f t="shared" ref="M77:P77" si="26">+M19/L19-1</f>
        <v>0.5230073971751692</v>
      </c>
      <c r="N77" s="55">
        <f t="shared" si="26"/>
        <v>0.53280922739955039</v>
      </c>
      <c r="O77" s="55">
        <f t="shared" si="26"/>
        <v>0.60303795870703825</v>
      </c>
      <c r="P77" s="55">
        <f t="shared" si="26"/>
        <v>4.6973902105148957E-2</v>
      </c>
    </row>
    <row r="79" spans="1:16" x14ac:dyDescent="0.2">
      <c r="J79" s="34" t="s">
        <v>164</v>
      </c>
    </row>
    <row r="80" spans="1:16" x14ac:dyDescent="0.2">
      <c r="J80" s="1" t="s">
        <v>165</v>
      </c>
      <c r="K80" s="55">
        <f t="shared" ref="K80:P80" si="27">+K104/SUM(K10:K11)</f>
        <v>2.8033642931847756E-2</v>
      </c>
      <c r="L80" s="55">
        <f t="shared" si="27"/>
        <v>2.8037224223128002E-2</v>
      </c>
      <c r="M80" s="55">
        <f t="shared" si="27"/>
        <v>5.3873861220790485E-2</v>
      </c>
      <c r="N80" s="55">
        <f t="shared" si="27"/>
        <v>5.3962647720309141E-2</v>
      </c>
      <c r="O80" s="55">
        <f t="shared" si="27"/>
        <v>3.4764125033243602E-2</v>
      </c>
      <c r="P80" s="55">
        <f t="shared" si="27"/>
        <v>6.3495091415128255E-2</v>
      </c>
    </row>
    <row r="81" spans="10:16" x14ac:dyDescent="0.2">
      <c r="J81" s="1" t="s">
        <v>166</v>
      </c>
      <c r="K81" s="55">
        <f t="shared" ref="K81:P81" si="28">+(K104+K110)/SUM(K10:K11)</f>
        <v>2.8216288787140657E-2</v>
      </c>
      <c r="L81" s="55">
        <f t="shared" si="28"/>
        <v>2.821628878714065E-2</v>
      </c>
      <c r="M81" s="55">
        <f t="shared" si="28"/>
        <v>5.4130169417514182E-2</v>
      </c>
      <c r="N81" s="55">
        <f t="shared" si="28"/>
        <v>5.4130169417514175E-2</v>
      </c>
      <c r="O81" s="55">
        <f t="shared" si="28"/>
        <v>3.4826970790600348E-2</v>
      </c>
      <c r="P81" s="55">
        <f t="shared" si="28"/>
        <v>6.3495091415128255E-2</v>
      </c>
    </row>
    <row r="82" spans="10:16" x14ac:dyDescent="0.2">
      <c r="J82" s="1" t="s">
        <v>167</v>
      </c>
      <c r="K82" s="55">
        <f>+K19/SUM(K10:K11)</f>
        <v>1.9078235825181367E-2</v>
      </c>
      <c r="L82" s="55">
        <f t="shared" ref="L82:P82" si="29">+L19/SUM(L10:L11)</f>
        <v>1.9519976166962966E-2</v>
      </c>
      <c r="M82" s="55">
        <f t="shared" si="29"/>
        <v>4.2553387800161407E-2</v>
      </c>
      <c r="N82" s="55">
        <f t="shared" si="29"/>
        <v>4.263151991973782E-2</v>
      </c>
      <c r="O82" s="55">
        <f t="shared" si="29"/>
        <v>2.563772724417266E-2</v>
      </c>
      <c r="P82" s="55">
        <f t="shared" si="29"/>
        <v>5.1068145072501014E-2</v>
      </c>
    </row>
    <row r="84" spans="10:16" x14ac:dyDescent="0.2">
      <c r="J84" s="34" t="s">
        <v>168</v>
      </c>
    </row>
    <row r="85" spans="10:16" x14ac:dyDescent="0.2">
      <c r="J85" s="1" t="s">
        <v>169</v>
      </c>
      <c r="K85" s="1">
        <f>+K58+K57</f>
        <v>20900124</v>
      </c>
      <c r="L85" s="1">
        <f t="shared" ref="L85:P85" si="30">+L58+L57</f>
        <v>19982126.48</v>
      </c>
      <c r="M85" s="1">
        <f t="shared" si="30"/>
        <v>19871769.009600002</v>
      </c>
      <c r="N85" s="1">
        <f t="shared" si="30"/>
        <v>20269204.389792003</v>
      </c>
      <c r="O85" s="1">
        <f t="shared" si="30"/>
        <v>20674588.477587841</v>
      </c>
      <c r="P85" s="1">
        <f t="shared" si="30"/>
        <v>21088080.247139599</v>
      </c>
    </row>
    <row r="86" spans="10:16" x14ac:dyDescent="0.2">
      <c r="J86" s="1" t="s">
        <v>170</v>
      </c>
      <c r="K86" s="1">
        <f>+K85-K45</f>
        <v>20842847.770240001</v>
      </c>
      <c r="L86" s="1">
        <f t="shared" ref="L86:P86" si="31">+L85-L45</f>
        <v>19963723.955884807</v>
      </c>
      <c r="M86" s="1">
        <f t="shared" si="31"/>
        <v>18409258.638435274</v>
      </c>
      <c r="N86" s="1">
        <f t="shared" si="31"/>
        <v>15802278.525980126</v>
      </c>
      <c r="O86" s="1">
        <f t="shared" si="31"/>
        <v>11362915.822007105</v>
      </c>
      <c r="P86" s="1">
        <f t="shared" si="31"/>
        <v>6714958.8509560078</v>
      </c>
    </row>
    <row r="87" spans="10:16" x14ac:dyDescent="0.2">
      <c r="J87" s="1" t="s">
        <v>171</v>
      </c>
      <c r="K87" s="1">
        <f>+K66</f>
        <v>1255457.5697599964</v>
      </c>
      <c r="L87" s="1">
        <f t="shared" ref="L87:P87" si="32">+L66</f>
        <v>2563587.4909151923</v>
      </c>
      <c r="M87" s="1">
        <f t="shared" si="32"/>
        <v>4555879.0373007264</v>
      </c>
      <c r="N87" s="1">
        <f t="shared" si="32"/>
        <v>7609681.9032705929</v>
      </c>
      <c r="O87" s="1">
        <f t="shared" si="32"/>
        <v>12505043.815828629</v>
      </c>
      <c r="P87" s="1">
        <f t="shared" si="32"/>
        <v>17630359.979636442</v>
      </c>
    </row>
    <row r="88" spans="10:16" x14ac:dyDescent="0.2">
      <c r="J88" s="1" t="s">
        <v>172</v>
      </c>
      <c r="K88" s="56">
        <f>+K86/K87</f>
        <v>16.601793857696435</v>
      </c>
      <c r="L88" s="56">
        <f t="shared" ref="L88:P88" si="33">+L86/L87</f>
        <v>7.7874166677096026</v>
      </c>
      <c r="M88" s="56">
        <f t="shared" si="33"/>
        <v>4.0407698465458859</v>
      </c>
      <c r="N88" s="56">
        <f t="shared" si="33"/>
        <v>2.0766017196051791</v>
      </c>
      <c r="O88" s="56">
        <f t="shared" si="33"/>
        <v>0.9086666139965186</v>
      </c>
      <c r="P88" s="56">
        <f t="shared" si="33"/>
        <v>0.3808747444018144</v>
      </c>
    </row>
    <row r="89" spans="10:16" x14ac:dyDescent="0.2">
      <c r="J89" s="1" t="s">
        <v>173</v>
      </c>
      <c r="K89" s="56">
        <f t="shared" ref="K89:P89" si="34">+K86/(K104+K110)</f>
        <v>11.24309137667961</v>
      </c>
      <c r="L89" s="56">
        <f t="shared" si="34"/>
        <v>10.557718253916766</v>
      </c>
      <c r="M89" s="56">
        <f t="shared" si="34"/>
        <v>7.2640389136838044</v>
      </c>
      <c r="N89" s="56">
        <f t="shared" si="34"/>
        <v>4.0753990902318158</v>
      </c>
      <c r="O89" s="56">
        <f t="shared" si="34"/>
        <v>1.7087117503189728</v>
      </c>
      <c r="P89" s="56">
        <f t="shared" si="34"/>
        <v>1.0537379603809069</v>
      </c>
    </row>
    <row r="90" spans="10:16" x14ac:dyDescent="0.2">
      <c r="J90" s="1" t="s">
        <v>174</v>
      </c>
      <c r="K90" s="56">
        <f t="shared" ref="K90:P90" si="35">+(K104+K110)/-K17</f>
        <v>4.4408319129678526</v>
      </c>
      <c r="L90" s="56">
        <f t="shared" si="35"/>
        <v>4.8188217998788492</v>
      </c>
      <c r="M90" s="56">
        <f t="shared" si="35"/>
        <v>9.810208884185565</v>
      </c>
      <c r="N90" s="56">
        <f t="shared" si="35"/>
        <v>9.810208884185565</v>
      </c>
      <c r="O90" s="56">
        <f t="shared" si="35"/>
        <v>6.1855848120712054</v>
      </c>
      <c r="P90" s="56">
        <f t="shared" si="35"/>
        <v>11.622520920242772</v>
      </c>
    </row>
    <row r="91" spans="10:16" x14ac:dyDescent="0.2">
      <c r="J91" s="1" t="s">
        <v>175</v>
      </c>
      <c r="K91" s="56">
        <f>+K64/K19</f>
        <v>0</v>
      </c>
      <c r="L91" s="56">
        <f t="shared" ref="L91:P91" si="36">+L64/L19</f>
        <v>0</v>
      </c>
      <c r="M91" s="56">
        <f t="shared" si="36"/>
        <v>0</v>
      </c>
      <c r="N91" s="56">
        <f t="shared" si="36"/>
        <v>0</v>
      </c>
      <c r="O91" s="56">
        <f t="shared" si="36"/>
        <v>0</v>
      </c>
      <c r="P91" s="56">
        <f t="shared" si="36"/>
        <v>0</v>
      </c>
    </row>
    <row r="93" spans="10:16" x14ac:dyDescent="0.2">
      <c r="J93" s="34" t="s">
        <v>176</v>
      </c>
    </row>
    <row r="94" spans="10:16" x14ac:dyDescent="0.2">
      <c r="J94" s="1" t="s">
        <v>178</v>
      </c>
      <c r="K94" s="55">
        <f t="shared" ref="K94:P94" si="37">+K107/SUM(K10:K11)</f>
        <v>1.750632121551958E-2</v>
      </c>
      <c r="L94" s="55">
        <f t="shared" si="37"/>
        <v>3.7442176008927804E-2</v>
      </c>
      <c r="M94" s="55">
        <f t="shared" si="37"/>
        <v>6.5558695658127386E-2</v>
      </c>
      <c r="N94" s="55">
        <f t="shared" si="37"/>
        <v>4.3705797105418283E-2</v>
      </c>
      <c r="O94" s="55">
        <f t="shared" si="37"/>
        <v>1.6724152423913771E-2</v>
      </c>
      <c r="P94" s="55">
        <f t="shared" si="37"/>
        <v>3.2454804191422965E-2</v>
      </c>
    </row>
    <row r="95" spans="10:16" x14ac:dyDescent="0.2">
      <c r="J95" s="1" t="s">
        <v>179</v>
      </c>
      <c r="K95" s="1">
        <f>+K86+K87</f>
        <v>22098305.339999996</v>
      </c>
      <c r="L95" s="1">
        <f t="shared" ref="L95:P95" si="38">+L86+L87</f>
        <v>22527311.446800001</v>
      </c>
      <c r="M95" s="1">
        <f t="shared" si="38"/>
        <v>22965137.675736003</v>
      </c>
      <c r="N95" s="1">
        <f t="shared" si="38"/>
        <v>23411960.429250717</v>
      </c>
      <c r="O95" s="1">
        <f t="shared" si="38"/>
        <v>23867959.637835734</v>
      </c>
      <c r="P95" s="1">
        <f t="shared" si="38"/>
        <v>24345318.83059245</v>
      </c>
    </row>
    <row r="96" spans="10:16" x14ac:dyDescent="0.2">
      <c r="J96" s="1" t="s">
        <v>180</v>
      </c>
      <c r="K96" s="55">
        <f>+K95/SUM(K10:K11)</f>
        <v>0.3363469899456662</v>
      </c>
      <c r="L96" s="55">
        <f t="shared" ref="L96:P96" si="39">+L95/SUM(L10:L11)</f>
        <v>0.33615360021653257</v>
      </c>
      <c r="M96" s="55">
        <f t="shared" si="39"/>
        <v>0.49051275209827255</v>
      </c>
      <c r="N96" s="55">
        <f t="shared" si="39"/>
        <v>0.3268342788337551</v>
      </c>
      <c r="O96" s="55">
        <f t="shared" si="39"/>
        <v>0.125</v>
      </c>
      <c r="P96" s="55">
        <f t="shared" si="39"/>
        <v>0.24257435719893389</v>
      </c>
    </row>
    <row r="98" spans="2:16" x14ac:dyDescent="0.2">
      <c r="J98" s="34" t="s">
        <v>177</v>
      </c>
    </row>
    <row r="99" spans="2:16" x14ac:dyDescent="0.2">
      <c r="J99" s="1" t="s">
        <v>181</v>
      </c>
      <c r="K99" s="1">
        <f t="shared" ref="K99:P99" si="40">+K104+K105</f>
        <v>1620815.6975999963</v>
      </c>
      <c r="L99" s="1">
        <f t="shared" si="40"/>
        <v>1653443.2115519959</v>
      </c>
      <c r="M99" s="1">
        <f t="shared" si="40"/>
        <v>2219624.583855358</v>
      </c>
      <c r="N99" s="1">
        <f t="shared" si="40"/>
        <v>3401622.4132986967</v>
      </c>
      <c r="O99" s="1">
        <f t="shared" si="40"/>
        <v>5841431.0812924569</v>
      </c>
      <c r="P99" s="1">
        <f t="shared" si="40"/>
        <v>5607811.4398623668</v>
      </c>
    </row>
    <row r="100" spans="2:16" x14ac:dyDescent="0.2">
      <c r="J100" s="1" t="s">
        <v>182</v>
      </c>
      <c r="L100" s="55">
        <f>+L99/AVERAGE(K95:L95)</f>
        <v>7.4102873219718729E-2</v>
      </c>
      <c r="M100" s="55">
        <f t="shared" ref="M100:P100" si="41">+M99/AVERAGE(L95:M95)</f>
        <v>9.7582109851975532E-2</v>
      </c>
      <c r="N100" s="55">
        <f t="shared" si="41"/>
        <v>0.14669406031391755</v>
      </c>
      <c r="O100" s="55">
        <f t="shared" si="41"/>
        <v>0.24709987127744423</v>
      </c>
      <c r="P100" s="55">
        <f t="shared" si="41"/>
        <v>0.23262518617291569</v>
      </c>
    </row>
    <row r="101" spans="2:16" x14ac:dyDescent="0.2">
      <c r="J101" s="1" t="s">
        <v>183</v>
      </c>
      <c r="L101" s="55">
        <f>+L19/AVERAGE(K66:L66)</f>
        <v>0.68505602859994785</v>
      </c>
      <c r="M101" s="55">
        <f t="shared" ref="M101:P101" si="42">+M19/AVERAGE(L66:M66)</f>
        <v>0.5596743909082712</v>
      </c>
      <c r="N101" s="55">
        <f t="shared" si="42"/>
        <v>0.50204061791933341</v>
      </c>
      <c r="O101" s="55">
        <f t="shared" si="42"/>
        <v>0.48674408798026214</v>
      </c>
      <c r="P101" s="55">
        <f t="shared" si="42"/>
        <v>0.3401524796942722</v>
      </c>
    </row>
    <row r="103" spans="2:16" x14ac:dyDescent="0.2">
      <c r="B103" s="36"/>
      <c r="C103" s="36"/>
      <c r="D103" s="36"/>
      <c r="E103" s="36"/>
      <c r="F103" s="36"/>
      <c r="G103" s="36"/>
      <c r="I103" s="28" t="s">
        <v>100</v>
      </c>
      <c r="J103" s="36"/>
      <c r="K103" s="36"/>
      <c r="L103" s="36"/>
      <c r="M103" s="36"/>
      <c r="N103" s="36"/>
      <c r="O103" s="36"/>
      <c r="P103" s="36"/>
    </row>
    <row r="104" spans="2:16" x14ac:dyDescent="0.2">
      <c r="J104" s="1" t="s">
        <v>76</v>
      </c>
      <c r="K104" s="1">
        <f t="shared" ref="K104:P104" si="43">+K13+K14+K15+K16</f>
        <v>1841836.0199999958</v>
      </c>
      <c r="L104" s="1">
        <f t="shared" si="43"/>
        <v>1878912.7403999954</v>
      </c>
      <c r="M104" s="1">
        <f t="shared" si="43"/>
        <v>2522300.6634719977</v>
      </c>
      <c r="N104" s="1">
        <f t="shared" si="43"/>
        <v>3865480.0151121556</v>
      </c>
      <c r="O104" s="1">
        <f t="shared" si="43"/>
        <v>6637989.8651050646</v>
      </c>
      <c r="P104" s="1">
        <f t="shared" si="43"/>
        <v>6372512.9998435983</v>
      </c>
    </row>
    <row r="105" spans="2:16" x14ac:dyDescent="0.2">
      <c r="C105" s="1" t="s">
        <v>82</v>
      </c>
      <c r="D105" s="11">
        <v>0.2</v>
      </c>
      <c r="J105" s="1" t="s">
        <v>22</v>
      </c>
      <c r="K105" s="1">
        <f t="shared" ref="K105:P105" si="44">-K104*$D$23</f>
        <v>-221020.32239999948</v>
      </c>
      <c r="L105" s="1">
        <f t="shared" si="44"/>
        <v>-225469.52884799943</v>
      </c>
      <c r="M105" s="1">
        <f t="shared" si="44"/>
        <v>-302676.0796166397</v>
      </c>
      <c r="N105" s="1">
        <f t="shared" si="44"/>
        <v>-463857.60181345866</v>
      </c>
      <c r="O105" s="1">
        <f t="shared" si="44"/>
        <v>-796558.78381260775</v>
      </c>
      <c r="P105" s="1">
        <f t="shared" si="44"/>
        <v>-764701.55998123181</v>
      </c>
    </row>
    <row r="106" spans="2:16" x14ac:dyDescent="0.2">
      <c r="C106" s="1" t="s">
        <v>86</v>
      </c>
      <c r="D106" s="11">
        <v>0.02</v>
      </c>
    </row>
    <row r="107" spans="2:16" x14ac:dyDescent="0.2">
      <c r="J107" s="1" t="s">
        <v>190</v>
      </c>
      <c r="K107" s="1">
        <f t="shared" ref="K107:P107" si="45">+K48-K59-K45</f>
        <v>1150181.3399999961</v>
      </c>
      <c r="L107" s="1">
        <f t="shared" si="45"/>
        <v>2509184.9667999968</v>
      </c>
      <c r="M107" s="1">
        <f t="shared" si="45"/>
        <v>3069368.6661359966</v>
      </c>
      <c r="N107" s="1">
        <f t="shared" si="45"/>
        <v>3130756.0394587182</v>
      </c>
      <c r="O107" s="1">
        <f t="shared" si="45"/>
        <v>3193371.1602478921</v>
      </c>
      <c r="P107" s="1">
        <f t="shared" si="45"/>
        <v>3257238.5834528469</v>
      </c>
    </row>
    <row r="109" spans="2:16" x14ac:dyDescent="0.2">
      <c r="J109" s="1" t="s">
        <v>78</v>
      </c>
      <c r="K109" s="1">
        <f t="shared" ref="K109:P109" si="46">+SUM(K104:K105)</f>
        <v>1620815.6975999963</v>
      </c>
      <c r="L109" s="1">
        <f t="shared" si="46"/>
        <v>1653443.2115519959</v>
      </c>
      <c r="M109" s="1">
        <f t="shared" si="46"/>
        <v>2219624.583855358</v>
      </c>
      <c r="N109" s="1">
        <f t="shared" si="46"/>
        <v>3401622.4132986967</v>
      </c>
      <c r="O109" s="1">
        <f t="shared" si="46"/>
        <v>5841431.0812924569</v>
      </c>
      <c r="P109" s="1">
        <f t="shared" si="46"/>
        <v>5607811.4398623668</v>
      </c>
    </row>
    <row r="110" spans="2:16" x14ac:dyDescent="0.2">
      <c r="J110" s="1" t="s">
        <v>77</v>
      </c>
      <c r="K110" s="1">
        <f t="shared" ref="K110:P110" si="47">-K16</f>
        <v>12000</v>
      </c>
      <c r="L110" s="1">
        <f t="shared" si="47"/>
        <v>12000</v>
      </c>
      <c r="M110" s="1">
        <f t="shared" si="47"/>
        <v>12000</v>
      </c>
      <c r="N110" s="1">
        <f t="shared" si="47"/>
        <v>12000</v>
      </c>
      <c r="O110" s="1">
        <f t="shared" si="47"/>
        <v>12000</v>
      </c>
      <c r="P110" s="1">
        <f t="shared" si="47"/>
        <v>0</v>
      </c>
    </row>
    <row r="111" spans="2:16" x14ac:dyDescent="0.2">
      <c r="J111" s="1" t="s">
        <v>46</v>
      </c>
      <c r="K111" s="1">
        <f t="shared" ref="K111:P111" si="48">+K31</f>
        <v>-60000</v>
      </c>
      <c r="L111" s="1">
        <f t="shared" si="48"/>
        <v>0</v>
      </c>
      <c r="M111" s="1">
        <f t="shared" si="48"/>
        <v>0</v>
      </c>
      <c r="N111" s="1">
        <f t="shared" si="48"/>
        <v>0</v>
      </c>
      <c r="O111" s="1">
        <f t="shared" si="48"/>
        <v>0</v>
      </c>
      <c r="P111" s="1">
        <f t="shared" si="48"/>
        <v>0</v>
      </c>
    </row>
    <row r="112" spans="2:16" x14ac:dyDescent="0.2">
      <c r="J112" s="1" t="s">
        <v>79</v>
      </c>
      <c r="K112" s="1">
        <f>-K107</f>
        <v>-1150181.3399999961</v>
      </c>
      <c r="L112" s="1">
        <f>-L107+K107</f>
        <v>-1359003.6268000007</v>
      </c>
      <c r="M112" s="1">
        <f t="shared" ref="M112:P112" si="49">-M107+L107</f>
        <v>-560183.69933599979</v>
      </c>
      <c r="N112" s="1">
        <f t="shared" si="49"/>
        <v>-61387.373322721571</v>
      </c>
      <c r="O112" s="1">
        <f t="shared" si="49"/>
        <v>-62615.12078917399</v>
      </c>
      <c r="P112" s="1">
        <f t="shared" si="49"/>
        <v>-63867.423204954714</v>
      </c>
    </row>
    <row r="113" spans="9:16" x14ac:dyDescent="0.2">
      <c r="J113" s="4" t="s">
        <v>81</v>
      </c>
      <c r="K113" s="4">
        <f>+SUM(K109:K112)</f>
        <v>422634.35760000022</v>
      </c>
      <c r="L113" s="4">
        <f t="shared" ref="L113:P113" si="50">+SUM(L109:L112)</f>
        <v>306439.58475199528</v>
      </c>
      <c r="M113" s="4">
        <f t="shared" si="50"/>
        <v>1671440.8845193582</v>
      </c>
      <c r="N113" s="4">
        <f t="shared" si="50"/>
        <v>3352235.0399759752</v>
      </c>
      <c r="O113" s="4">
        <f t="shared" si="50"/>
        <v>5790815.960503283</v>
      </c>
      <c r="P113" s="4">
        <f t="shared" si="50"/>
        <v>5543944.0166574121</v>
      </c>
    </row>
    <row r="115" spans="9:16" x14ac:dyDescent="0.2">
      <c r="J115" s="1" t="s">
        <v>83</v>
      </c>
      <c r="K115" s="1">
        <v>1</v>
      </c>
      <c r="L115" s="1">
        <f>+K115+1</f>
        <v>2</v>
      </c>
      <c r="M115" s="1">
        <f t="shared" ref="M115:P115" si="51">+L115+1</f>
        <v>3</v>
      </c>
      <c r="N115" s="1">
        <f t="shared" si="51"/>
        <v>4</v>
      </c>
      <c r="O115" s="1">
        <f t="shared" si="51"/>
        <v>5</v>
      </c>
      <c r="P115" s="1">
        <f t="shared" si="51"/>
        <v>6</v>
      </c>
    </row>
    <row r="116" spans="9:16" x14ac:dyDescent="0.2">
      <c r="J116" s="1" t="s">
        <v>88</v>
      </c>
      <c r="K116" s="1">
        <f t="shared" ref="K116:P116" si="52">1/(1+$D$105)^K115</f>
        <v>0.83333333333333337</v>
      </c>
      <c r="L116" s="1">
        <f t="shared" si="52"/>
        <v>0.69444444444444442</v>
      </c>
      <c r="M116" s="1">
        <f t="shared" si="52"/>
        <v>0.57870370370370372</v>
      </c>
      <c r="N116" s="1">
        <f t="shared" si="52"/>
        <v>0.48225308641975312</v>
      </c>
      <c r="O116" s="1">
        <f t="shared" si="52"/>
        <v>0.4018775720164609</v>
      </c>
      <c r="P116" s="1">
        <f t="shared" si="52"/>
        <v>0.33489797668038412</v>
      </c>
    </row>
    <row r="118" spans="9:16" x14ac:dyDescent="0.2">
      <c r="J118" s="1" t="s">
        <v>84</v>
      </c>
      <c r="K118" s="1">
        <f>+K116*K113</f>
        <v>352195.29800000018</v>
      </c>
      <c r="L118" s="1">
        <f t="shared" ref="L118:P118" si="53">+L116*L113</f>
        <v>212805.2671888856</v>
      </c>
      <c r="M118" s="1">
        <f t="shared" si="53"/>
        <v>967269.03039314714</v>
      </c>
      <c r="N118" s="1">
        <f t="shared" si="53"/>
        <v>1616625.6944328586</v>
      </c>
      <c r="O118" s="1">
        <f t="shared" si="53"/>
        <v>2327199.0582012292</v>
      </c>
      <c r="P118" s="1">
        <f t="shared" si="53"/>
        <v>1856655.6340078891</v>
      </c>
    </row>
    <row r="120" spans="9:16" x14ac:dyDescent="0.2">
      <c r="J120" s="1" t="s">
        <v>85</v>
      </c>
      <c r="P120" s="1">
        <f>+P118*(1+D106)/(D105-D106)</f>
        <v>10521048.59271137</v>
      </c>
    </row>
    <row r="121" spans="9:16" x14ac:dyDescent="0.2">
      <c r="J121" s="1" t="s">
        <v>87</v>
      </c>
      <c r="K121" s="1">
        <f>+P120*P116</f>
        <v>3523477.8862550408</v>
      </c>
    </row>
    <row r="123" spans="9:16" x14ac:dyDescent="0.2">
      <c r="J123" s="1" t="s">
        <v>89</v>
      </c>
      <c r="K123" s="1">
        <f>+SUM(K118:P118)</f>
        <v>7332749.9822240099</v>
      </c>
      <c r="L123" s="30">
        <f>+K123/K125</f>
        <v>0.67544178982412262</v>
      </c>
    </row>
    <row r="124" spans="9:16" x14ac:dyDescent="0.2">
      <c r="J124" s="1" t="s">
        <v>87</v>
      </c>
      <c r="K124" s="1">
        <f>+K121</f>
        <v>3523477.8862550408</v>
      </c>
      <c r="L124" s="30">
        <f>+K124/K126</f>
        <v>0.32455821017587738</v>
      </c>
    </row>
    <row r="125" spans="9:16" x14ac:dyDescent="0.2">
      <c r="J125" s="4" t="s">
        <v>90</v>
      </c>
      <c r="K125" s="4">
        <f>+SUM(K123:K124)</f>
        <v>10856227.868479051</v>
      </c>
      <c r="L125" s="31">
        <f>+SUM(L123:L124)</f>
        <v>1</v>
      </c>
    </row>
    <row r="126" spans="9:16" x14ac:dyDescent="0.2">
      <c r="J126" s="4" t="s">
        <v>91</v>
      </c>
      <c r="K126" s="4">
        <f>+K125</f>
        <v>10856227.868479051</v>
      </c>
    </row>
    <row r="128" spans="9:16" x14ac:dyDescent="0.2">
      <c r="I128" s="4" t="s">
        <v>133</v>
      </c>
      <c r="K128" s="53" t="s">
        <v>193</v>
      </c>
      <c r="L128" s="28" t="s">
        <v>96</v>
      </c>
    </row>
    <row r="129" spans="2:16" x14ac:dyDescent="0.2">
      <c r="K129" s="28">
        <f>+K125</f>
        <v>10856227.868479051</v>
      </c>
      <c r="L129" s="61">
        <v>0.01</v>
      </c>
      <c r="M129" s="61">
        <v>1.4999999999999999E-2</v>
      </c>
      <c r="N129" s="61">
        <v>0.02</v>
      </c>
      <c r="O129" s="61">
        <v>2.5000000000000001E-2</v>
      </c>
      <c r="P129" s="61">
        <v>0.03</v>
      </c>
    </row>
    <row r="130" spans="2:16" x14ac:dyDescent="0.2">
      <c r="K130" s="61">
        <v>0.25</v>
      </c>
      <c r="L130" s="1">
        <f t="dataTable" ref="L130:P141" dt2D="1" dtr="1" r1="D106" r2="D105"/>
        <v>7717206.1814645343</v>
      </c>
      <c r="M130" s="1">
        <v>7759424.3698375812</v>
      </c>
      <c r="N130" s="1">
        <v>7803478.1316181514</v>
      </c>
      <c r="O130" s="1">
        <v>7849489.8383667478</v>
      </c>
      <c r="P130" s="1">
        <v>7897592.9863311891</v>
      </c>
    </row>
    <row r="131" spans="2:16" x14ac:dyDescent="0.2">
      <c r="K131" s="61">
        <v>0.24</v>
      </c>
      <c r="L131" s="1">
        <v>8177311.526262125</v>
      </c>
      <c r="M131" s="1">
        <v>8227573.5475187199</v>
      </c>
      <c r="N131" s="1">
        <v>8280120.2061051596</v>
      </c>
      <c r="O131" s="1">
        <v>8335110.895323527</v>
      </c>
      <c r="P131" s="1">
        <v>8392720.1887903884</v>
      </c>
    </row>
    <row r="132" spans="2:16" x14ac:dyDescent="0.2">
      <c r="K132" s="61">
        <v>0.23</v>
      </c>
      <c r="L132" s="1">
        <v>8689379.5348086804</v>
      </c>
      <c r="M132" s="1">
        <v>8749492.9599422477</v>
      </c>
      <c r="N132" s="1">
        <v>8812468.929129798</v>
      </c>
      <c r="O132" s="1">
        <v>8878516.8968142997</v>
      </c>
      <c r="P132" s="1">
        <v>8947867.262883028</v>
      </c>
    </row>
    <row r="133" spans="2:16" x14ac:dyDescent="0.2">
      <c r="K133" s="61">
        <v>0.22</v>
      </c>
      <c r="L133" s="1">
        <v>9262396.6650323011</v>
      </c>
      <c r="M133" s="1">
        <v>9334649.9417296629</v>
      </c>
      <c r="N133" s="1">
        <v>9410515.8822618928</v>
      </c>
      <c r="O133" s="1">
        <v>9490272.3838470578</v>
      </c>
      <c r="P133" s="1">
        <v>9574226.5960419681</v>
      </c>
    </row>
    <row r="134" spans="2:16" x14ac:dyDescent="0.2">
      <c r="K134" s="61">
        <v>0.21</v>
      </c>
      <c r="L134" s="1">
        <v>9907399.5625254847</v>
      </c>
      <c r="M134" s="19">
        <v>9994713.8189567942</v>
      </c>
      <c r="N134" s="20">
        <v>10086623.562568698</v>
      </c>
      <c r="O134" s="21">
        <v>10183501.400429897</v>
      </c>
      <c r="P134" s="1">
        <v>10285761.340394493</v>
      </c>
    </row>
    <row r="135" spans="2:16" x14ac:dyDescent="0.2">
      <c r="K135" s="61">
        <v>0.2</v>
      </c>
      <c r="L135" s="1">
        <v>10638055.863138182</v>
      </c>
      <c r="M135" s="26">
        <v>10744193.595466172</v>
      </c>
      <c r="N135" s="8">
        <v>10856227.868479051</v>
      </c>
      <c r="O135" s="27">
        <v>10974664.099949807</v>
      </c>
      <c r="P135" s="1">
        <v>11100067.168565905</v>
      </c>
    </row>
    <row r="136" spans="2:16" x14ac:dyDescent="0.2">
      <c r="K136" s="61">
        <v>0.19</v>
      </c>
      <c r="L136" s="1">
        <v>11471445.539832646</v>
      </c>
      <c r="M136" s="22">
        <v>11601301.447226468</v>
      </c>
      <c r="N136" s="15">
        <v>11738795.93740816</v>
      </c>
      <c r="O136" s="23">
        <v>11884623.426994804</v>
      </c>
      <c r="P136" s="1">
        <v>12039565.134680616</v>
      </c>
    </row>
    <row r="137" spans="2:16" x14ac:dyDescent="0.2">
      <c r="K137" s="61">
        <v>0.18</v>
      </c>
      <c r="L137" s="1">
        <v>12429126.591987519</v>
      </c>
      <c r="M137" s="1">
        <v>12589139.08604195</v>
      </c>
      <c r="N137" s="1">
        <v>12759152.360974781</v>
      </c>
      <c r="O137" s="1">
        <v>12940134.234290378</v>
      </c>
      <c r="P137" s="1">
        <v>13133181.565827016</v>
      </c>
    </row>
    <row r="138" spans="2:16" x14ac:dyDescent="0.2">
      <c r="K138" s="61">
        <v>0.17</v>
      </c>
      <c r="L138" s="1">
        <v>13538611.000662811</v>
      </c>
      <c r="M138" s="1">
        <v>13737354.384710513</v>
      </c>
      <c r="N138" s="1">
        <v>13949347.327694729</v>
      </c>
      <c r="O138" s="1">
        <v>14175960.473643374</v>
      </c>
      <c r="P138" s="1">
        <v>14418760.272874067</v>
      </c>
    </row>
    <row r="139" spans="2:16" x14ac:dyDescent="0.2">
      <c r="K139" s="61">
        <v>0.16</v>
      </c>
      <c r="L139" s="1">
        <v>14835444.318159387</v>
      </c>
      <c r="M139" s="1">
        <v>15084497.272381194</v>
      </c>
      <c r="N139" s="1">
        <v>15351339.723333135</v>
      </c>
      <c r="O139" s="1">
        <v>15637948.281762995</v>
      </c>
      <c r="P139" s="1">
        <v>15946603.65237977</v>
      </c>
    </row>
    <row r="140" spans="2:16" x14ac:dyDescent="0.2">
      <c r="K140" s="61">
        <v>0.15</v>
      </c>
      <c r="L140" s="1">
        <v>16366193.119065782</v>
      </c>
      <c r="M140" s="1">
        <v>16681439.995650444</v>
      </c>
      <c r="N140" s="1">
        <v>17020936.631972391</v>
      </c>
      <c r="O140" s="1">
        <v>17387592.999200094</v>
      </c>
      <c r="P140" s="1">
        <v>17784804.063696772</v>
      </c>
    </row>
    <row r="141" spans="2:16" x14ac:dyDescent="0.2">
      <c r="K141" s="61">
        <v>0.14000000000000001</v>
      </c>
      <c r="L141" s="1">
        <v>18192832.220201857</v>
      </c>
      <c r="M141" s="1">
        <v>18596460.986413099</v>
      </c>
      <c r="N141" s="1">
        <v>19033725.483141951</v>
      </c>
      <c r="O141" s="1">
        <v>19509012.979586355</v>
      </c>
      <c r="P141" s="1">
        <v>20027508.43025298</v>
      </c>
    </row>
    <row r="142" spans="2:16" x14ac:dyDescent="0.2">
      <c r="K142" s="29" t="s">
        <v>82</v>
      </c>
    </row>
    <row r="144" spans="2:16" x14ac:dyDescent="0.2">
      <c r="B144" s="36"/>
      <c r="C144" s="36"/>
      <c r="D144" s="36"/>
      <c r="E144" s="36"/>
      <c r="F144" s="36"/>
      <c r="G144" s="36"/>
      <c r="I144" s="28" t="s">
        <v>142</v>
      </c>
      <c r="J144" s="36"/>
      <c r="K144" s="36"/>
      <c r="L144" s="36"/>
      <c r="M144" s="36"/>
      <c r="N144" s="36"/>
      <c r="O144" s="36"/>
      <c r="P144" s="36"/>
    </row>
    <row r="145" spans="2:16" x14ac:dyDescent="0.2">
      <c r="C145" s="1" t="s">
        <v>187</v>
      </c>
      <c r="D145" s="32">
        <v>0.8</v>
      </c>
      <c r="J145" s="1" t="s">
        <v>107</v>
      </c>
      <c r="K145" s="25">
        <f>+D146</f>
        <v>44197</v>
      </c>
      <c r="L145" s="25">
        <f>+D146+365.25</f>
        <v>44562.25</v>
      </c>
      <c r="M145" s="25">
        <f t="shared" ref="M145:P145" si="54">+L145+365.25</f>
        <v>44927.5</v>
      </c>
      <c r="N145" s="25">
        <f t="shared" si="54"/>
        <v>45292.75</v>
      </c>
      <c r="O145" s="25">
        <f t="shared" si="54"/>
        <v>45658</v>
      </c>
      <c r="P145" s="25">
        <f t="shared" si="54"/>
        <v>46023.25</v>
      </c>
    </row>
    <row r="146" spans="2:16" x14ac:dyDescent="0.2">
      <c r="C146" s="1" t="s">
        <v>191</v>
      </c>
      <c r="D146" s="33">
        <v>44197</v>
      </c>
      <c r="J146" s="1" t="s">
        <v>108</v>
      </c>
      <c r="K146" s="1">
        <f>-K33+K30</f>
        <v>-62000</v>
      </c>
    </row>
    <row r="147" spans="2:16" x14ac:dyDescent="0.2">
      <c r="J147" s="1" t="s">
        <v>109</v>
      </c>
      <c r="P147" s="1">
        <f>+P66</f>
        <v>17630359.979636442</v>
      </c>
    </row>
    <row r="148" spans="2:16" x14ac:dyDescent="0.2">
      <c r="J148" s="1" t="s">
        <v>110</v>
      </c>
      <c r="K148" s="1">
        <f>+SUM(K146:K147)</f>
        <v>-62000</v>
      </c>
      <c r="L148" s="1">
        <v>0</v>
      </c>
      <c r="M148" s="1">
        <v>0</v>
      </c>
      <c r="N148" s="1">
        <v>0</v>
      </c>
      <c r="O148" s="1">
        <v>0</v>
      </c>
      <c r="P148" s="1">
        <f t="shared" ref="P148" si="55">+SUM(P146:P147)</f>
        <v>17630359.979636442</v>
      </c>
    </row>
    <row r="149" spans="2:16" x14ac:dyDescent="0.2">
      <c r="J149" s="1" t="s">
        <v>188</v>
      </c>
      <c r="K149" s="1">
        <f>+K148</f>
        <v>-62000</v>
      </c>
      <c r="L149" s="1">
        <v>0</v>
      </c>
      <c r="M149" s="1">
        <v>0</v>
      </c>
      <c r="N149" s="1">
        <v>0</v>
      </c>
      <c r="O149" s="1">
        <v>0</v>
      </c>
      <c r="P149" s="1">
        <f>+P148*D145</f>
        <v>14104287.983709155</v>
      </c>
    </row>
    <row r="150" spans="2:16" x14ac:dyDescent="0.2">
      <c r="C150" s="30"/>
    </row>
    <row r="151" spans="2:16" x14ac:dyDescent="0.2">
      <c r="J151" s="37" t="s">
        <v>106</v>
      </c>
      <c r="K151" s="58">
        <f>+IRR(K149:P149)</f>
        <v>1.960682900874295</v>
      </c>
    </row>
    <row r="155" spans="2:16" x14ac:dyDescent="0.2">
      <c r="B155" s="36"/>
      <c r="C155" s="36"/>
      <c r="D155" s="36"/>
      <c r="E155" s="36"/>
      <c r="F155" s="36"/>
      <c r="G155" s="36"/>
      <c r="I155" s="28" t="s">
        <v>112</v>
      </c>
      <c r="J155" s="36"/>
      <c r="K155" s="36"/>
      <c r="L155" s="36"/>
      <c r="M155" s="36"/>
      <c r="N155" s="36"/>
      <c r="O155" s="36"/>
      <c r="P155" s="36"/>
    </row>
    <row r="156" spans="2:16" x14ac:dyDescent="0.2">
      <c r="B156" s="1" t="s">
        <v>135</v>
      </c>
      <c r="C156" s="1" t="s">
        <v>136</v>
      </c>
      <c r="D156" s="44">
        <v>8.6999999999999993</v>
      </c>
      <c r="J156" s="1" t="s">
        <v>107</v>
      </c>
      <c r="K156" s="25">
        <f>+D160</f>
        <v>44256</v>
      </c>
      <c r="L156" s="25">
        <f>+L145</f>
        <v>44562.25</v>
      </c>
      <c r="M156" s="25">
        <f t="shared" ref="M156:P156" si="56">+M145</f>
        <v>44927.5</v>
      </c>
      <c r="N156" s="25">
        <f t="shared" si="56"/>
        <v>45292.75</v>
      </c>
      <c r="O156" s="25">
        <f t="shared" si="56"/>
        <v>45658</v>
      </c>
      <c r="P156" s="25">
        <f t="shared" si="56"/>
        <v>46023.25</v>
      </c>
    </row>
    <row r="157" spans="2:16" x14ac:dyDescent="0.2">
      <c r="B157" s="1" t="s">
        <v>5</v>
      </c>
      <c r="C157" s="1" t="s">
        <v>116</v>
      </c>
      <c r="D157" s="32">
        <v>0.8</v>
      </c>
      <c r="J157" s="1" t="s">
        <v>111</v>
      </c>
      <c r="P157" s="1">
        <f>+SUM(P13:P15)</f>
        <v>6372512.9998435983</v>
      </c>
    </row>
    <row r="158" spans="2:16" x14ac:dyDescent="0.2">
      <c r="B158" s="1" t="s">
        <v>5</v>
      </c>
      <c r="C158" s="1" t="s">
        <v>114</v>
      </c>
      <c r="D158" s="32">
        <v>0.05</v>
      </c>
      <c r="J158" s="1" t="s">
        <v>113</v>
      </c>
    </row>
    <row r="159" spans="2:16" x14ac:dyDescent="0.2">
      <c r="B159" s="1" t="s">
        <v>5</v>
      </c>
      <c r="C159" s="1" t="s">
        <v>115</v>
      </c>
      <c r="D159" s="32">
        <v>0.02</v>
      </c>
    </row>
    <row r="160" spans="2:16" x14ac:dyDescent="0.2">
      <c r="B160" s="1" t="s">
        <v>107</v>
      </c>
      <c r="C160" s="1" t="s">
        <v>144</v>
      </c>
      <c r="D160" s="33">
        <v>44256</v>
      </c>
      <c r="F160" s="47" t="str">
        <f>IF(D160-D146&lt;0,"ERROR, Not operating yet","OK")</f>
        <v>OK</v>
      </c>
      <c r="J160" s="1" t="s">
        <v>126</v>
      </c>
      <c r="K160" s="1">
        <f>-K125</f>
        <v>-10856227.868479051</v>
      </c>
      <c r="L160" s="1">
        <v>0</v>
      </c>
      <c r="M160" s="1">
        <v>0</v>
      </c>
      <c r="N160" s="1">
        <v>0</v>
      </c>
      <c r="O160" s="1">
        <v>0</v>
      </c>
      <c r="P160" s="1">
        <f>+P157*D156</f>
        <v>55440863.098639302</v>
      </c>
    </row>
    <row r="161" spans="2:16" x14ac:dyDescent="0.2">
      <c r="B161" s="1" t="s">
        <v>107</v>
      </c>
      <c r="C161" s="1" t="s">
        <v>145</v>
      </c>
      <c r="D161" s="33">
        <v>44561</v>
      </c>
      <c r="J161" s="1" t="s">
        <v>116</v>
      </c>
      <c r="K161" s="1">
        <f>-K160*D157</f>
        <v>8684982.2947832402</v>
      </c>
    </row>
    <row r="162" spans="2:16" x14ac:dyDescent="0.2">
      <c r="B162" s="34"/>
      <c r="C162" s="34" t="s">
        <v>134</v>
      </c>
      <c r="D162" s="34">
        <f>+D161-D160</f>
        <v>305</v>
      </c>
      <c r="J162" s="1" t="s">
        <v>115</v>
      </c>
      <c r="K162" s="1">
        <f>K160*D159</f>
        <v>-217124.55736958102</v>
      </c>
    </row>
    <row r="163" spans="2:16" x14ac:dyDescent="0.2">
      <c r="B163" s="1" t="s">
        <v>137</v>
      </c>
      <c r="C163" s="1" t="s">
        <v>127</v>
      </c>
      <c r="D163" s="46" t="s">
        <v>121</v>
      </c>
      <c r="F163" s="47" t="s">
        <v>120</v>
      </c>
    </row>
    <row r="164" spans="2:16" x14ac:dyDescent="0.2">
      <c r="C164" s="1" t="s">
        <v>123</v>
      </c>
      <c r="D164" s="32">
        <v>0.6</v>
      </c>
      <c r="F164" s="47" t="s">
        <v>121</v>
      </c>
      <c r="I164" s="59"/>
      <c r="J164" s="60" t="str">
        <f>+I169</f>
        <v>Accelerated</v>
      </c>
    </row>
    <row r="165" spans="2:16" x14ac:dyDescent="0.2">
      <c r="F165" s="47" t="s">
        <v>122</v>
      </c>
      <c r="I165" s="40"/>
      <c r="J165" s="1" t="s">
        <v>117</v>
      </c>
      <c r="K165" s="1">
        <f>+$K$160*$D$158*($D$162/365.25)</f>
        <v>-453271.66322876257</v>
      </c>
      <c r="L165" s="1">
        <f>($K$160-L166)*$D$158</f>
        <v>-282261.92458045535</v>
      </c>
      <c r="M165" s="1">
        <f>($K$160-SUM($L$166:M166))*$D$158</f>
        <v>-178042.13704305646</v>
      </c>
      <c r="N165" s="1">
        <f>($K$160-SUM($L$166:N166))*$D$158</f>
        <v>-136354.2220280969</v>
      </c>
      <c r="O165" s="1">
        <f>($K$160-SUM($L$166:O166))*$D$158</f>
        <v>-119679.0560221131</v>
      </c>
      <c r="P165" s="1">
        <f>($K$160-SUM($L$166:P166))*$D$158</f>
        <v>-113008.98961971952</v>
      </c>
    </row>
    <row r="166" spans="2:16" x14ac:dyDescent="0.2">
      <c r="B166" s="1" t="s">
        <v>5</v>
      </c>
      <c r="C166" s="1" t="s">
        <v>131</v>
      </c>
      <c r="D166" s="32">
        <v>0.3</v>
      </c>
      <c r="I166" s="40"/>
      <c r="J166" s="1" t="s">
        <v>119</v>
      </c>
      <c r="K166" s="1">
        <v>0</v>
      </c>
      <c r="L166" s="1">
        <f>-K161*$D$164</f>
        <v>-5210989.3768699439</v>
      </c>
      <c r="M166" s="1">
        <f>-(K161+L166)*$D$164</f>
        <v>-2084395.7507479778</v>
      </c>
      <c r="N166" s="1">
        <f>-(K161+SUM($L$166:M166))*$D$164</f>
        <v>-833758.30029919103</v>
      </c>
      <c r="O166" s="1">
        <f>-(K161+SUM($L$166:N166))*$D$164</f>
        <v>-333503.32011967653</v>
      </c>
      <c r="P166" s="1">
        <f>-(K161+SUM($L$166:O166))*$D$164</f>
        <v>-133401.32804787083</v>
      </c>
    </row>
    <row r="167" spans="2:16" x14ac:dyDescent="0.2">
      <c r="I167" s="40"/>
      <c r="J167" s="1" t="s">
        <v>124</v>
      </c>
      <c r="P167" s="1">
        <f>+(K161+SUM(K166:P166))*-1</f>
        <v>-88934.218698579818</v>
      </c>
    </row>
    <row r="168" spans="2:16" x14ac:dyDescent="0.2">
      <c r="I168" s="40"/>
      <c r="J168" s="35"/>
      <c r="K168" s="35"/>
      <c r="L168" s="35"/>
      <c r="M168" s="35"/>
      <c r="N168" s="35"/>
      <c r="O168" s="35"/>
      <c r="P168" s="35"/>
    </row>
    <row r="169" spans="2:16" x14ac:dyDescent="0.2">
      <c r="I169" s="40" t="s">
        <v>122</v>
      </c>
      <c r="J169" s="14" t="s">
        <v>118</v>
      </c>
      <c r="K169" s="45">
        <f t="shared" ref="K169:P169" si="57">+SUM(K160:K167)</f>
        <v>-2841641.7942941543</v>
      </c>
      <c r="L169" s="45">
        <f t="shared" si="57"/>
        <v>-5493251.3014503997</v>
      </c>
      <c r="M169" s="45">
        <f t="shared" si="57"/>
        <v>-2262437.8877910343</v>
      </c>
      <c r="N169" s="45">
        <f t="shared" si="57"/>
        <v>-970112.52232728794</v>
      </c>
      <c r="O169" s="45">
        <f t="shared" si="57"/>
        <v>-453182.3761417896</v>
      </c>
      <c r="P169" s="45">
        <f t="shared" si="57"/>
        <v>55105518.56227313</v>
      </c>
    </row>
    <row r="170" spans="2:16" x14ac:dyDescent="0.2">
      <c r="I170" s="40"/>
      <c r="J170" s="1" t="s">
        <v>125</v>
      </c>
      <c r="K170" s="1">
        <f>+ABS(SUM(K166:P167)=$K$161)</f>
        <v>0</v>
      </c>
    </row>
    <row r="172" spans="2:16" x14ac:dyDescent="0.2">
      <c r="I172" s="40"/>
      <c r="J172" s="60" t="str">
        <f>+I177</f>
        <v>Linear</v>
      </c>
    </row>
    <row r="173" spans="2:16" x14ac:dyDescent="0.2">
      <c r="I173" s="40"/>
      <c r="J173" s="1" t="s">
        <v>117</v>
      </c>
      <c r="K173" s="1">
        <f>+$K$160*$D$158*($D$162/365.25)</f>
        <v>-453271.66322876257</v>
      </c>
      <c r="L173" s="1">
        <f>($K$160-L174)*$D$158</f>
        <v>-455961.57047612016</v>
      </c>
      <c r="M173" s="1">
        <f>($K$160-SUM($L$174:M174))*$D$158</f>
        <v>-369111.74752828776</v>
      </c>
      <c r="N173" s="1">
        <f>($K$160-SUM($L$174:N174))*$D$158</f>
        <v>-282261.92458045529</v>
      </c>
      <c r="O173" s="1">
        <f>($K$160-SUM($L$174:O174))*$D$158</f>
        <v>-195412.10163262291</v>
      </c>
      <c r="P173" s="1">
        <f>($K$160-SUM($L$174:P174))*$D$158</f>
        <v>-108562.27868479054</v>
      </c>
    </row>
    <row r="174" spans="2:16" x14ac:dyDescent="0.2">
      <c r="I174" s="40"/>
      <c r="J174" s="1" t="s">
        <v>119</v>
      </c>
      <c r="K174" s="1">
        <v>0</v>
      </c>
      <c r="L174" s="1">
        <f>-$K$161*(1/COUNT($L$156:$P$156))</f>
        <v>-1736996.4589566481</v>
      </c>
      <c r="M174" s="1">
        <f>-$K$161*(1/COUNT($L$156:$P$156))</f>
        <v>-1736996.4589566481</v>
      </c>
      <c r="N174" s="1">
        <f>-$K$161*(1/COUNT($L$156:$P$156))</f>
        <v>-1736996.4589566481</v>
      </c>
      <c r="O174" s="1">
        <f>-$K$161*(1/COUNT($L$156:$P$156))</f>
        <v>-1736996.4589566481</v>
      </c>
      <c r="P174" s="1">
        <f>-$K$161*(1/COUNT($L$156:$P$156))</f>
        <v>-1736996.4589566481</v>
      </c>
    </row>
    <row r="175" spans="2:16" x14ac:dyDescent="0.2">
      <c r="I175" s="40"/>
      <c r="J175" s="1" t="s">
        <v>128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2:16" x14ac:dyDescent="0.2">
      <c r="I176" s="40"/>
      <c r="J176" s="35"/>
      <c r="K176" s="35"/>
      <c r="L176" s="35"/>
      <c r="M176" s="35"/>
      <c r="N176" s="35"/>
      <c r="O176" s="35"/>
      <c r="P176" s="35"/>
    </row>
    <row r="177" spans="9:16" x14ac:dyDescent="0.2">
      <c r="I177" s="40" t="s">
        <v>120</v>
      </c>
      <c r="J177" s="14" t="s">
        <v>118</v>
      </c>
      <c r="K177" s="14">
        <f>+SUM($K$160:$K$162)+SUM(K173:K175)</f>
        <v>-2841641.7942941543</v>
      </c>
      <c r="L177" s="14">
        <f>+SUM(L160:L162)+SUM(L173:L175)</f>
        <v>-2192958.0294327685</v>
      </c>
      <c r="M177" s="14">
        <f>+SUM(M160:M162)+SUM(M173:M175)</f>
        <v>-2106108.2064849357</v>
      </c>
      <c r="N177" s="14">
        <f>+SUM(N160:N162)+SUM(N173:N175)</f>
        <v>-2019258.3835371034</v>
      </c>
      <c r="O177" s="14">
        <f>+SUM(O160:O162)+SUM(O173:O175)</f>
        <v>-1932408.5605892711</v>
      </c>
      <c r="P177" s="14">
        <f>+SUM(P160:P162)+SUM(P173:P175)</f>
        <v>53595304.360997863</v>
      </c>
    </row>
    <row r="178" spans="9:16" x14ac:dyDescent="0.2">
      <c r="I178" s="40"/>
      <c r="J178" s="1" t="s">
        <v>125</v>
      </c>
      <c r="K178" s="1">
        <f>+ABS(SUM(K173:P174)=$K$161)</f>
        <v>0</v>
      </c>
    </row>
    <row r="180" spans="9:16" x14ac:dyDescent="0.2">
      <c r="I180" s="40"/>
      <c r="J180" s="60" t="str">
        <f>+I185</f>
        <v>Bullet</v>
      </c>
    </row>
    <row r="181" spans="9:16" x14ac:dyDescent="0.2">
      <c r="I181" s="40"/>
      <c r="J181" s="1" t="s">
        <v>117</v>
      </c>
      <c r="K181" s="1">
        <f>+$K$160*$D$158*($D$162/365.25)</f>
        <v>-453271.66322876257</v>
      </c>
      <c r="L181" s="1">
        <f>+$K$160*$D$158</f>
        <v>-542811.39342395251</v>
      </c>
      <c r="M181" s="1">
        <f>+$K$160*$D$158</f>
        <v>-542811.39342395251</v>
      </c>
      <c r="N181" s="1">
        <f>+$K$160*$D$158</f>
        <v>-542811.39342395251</v>
      </c>
      <c r="O181" s="1">
        <f>+$K$160*$D$158</f>
        <v>-542811.39342395251</v>
      </c>
      <c r="P181" s="1">
        <f>+$K$160*$D$158</f>
        <v>-542811.39342395251</v>
      </c>
    </row>
    <row r="182" spans="9:16" x14ac:dyDescent="0.2">
      <c r="I182" s="40"/>
      <c r="J182" s="1" t="s">
        <v>119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f>-K161</f>
        <v>-8684982.2947832402</v>
      </c>
    </row>
    <row r="183" spans="9:16" x14ac:dyDescent="0.2">
      <c r="I183" s="40"/>
      <c r="J183" s="1" t="s">
        <v>128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9:16" x14ac:dyDescent="0.2">
      <c r="I184" s="40"/>
      <c r="J184" s="35"/>
      <c r="K184" s="35"/>
      <c r="L184" s="35"/>
      <c r="M184" s="35"/>
      <c r="N184" s="35"/>
      <c r="O184" s="35"/>
      <c r="P184" s="35"/>
    </row>
    <row r="185" spans="9:16" x14ac:dyDescent="0.2">
      <c r="I185" s="40" t="s">
        <v>121</v>
      </c>
      <c r="J185" s="14" t="s">
        <v>118</v>
      </c>
      <c r="K185" s="14">
        <f>+SUM($K$160:$K$162)+SUM(K181:K183)</f>
        <v>-2841641.7942941543</v>
      </c>
      <c r="L185" s="14">
        <f>+SUM($K$160:$K$162)+SUM(L181:L183)</f>
        <v>-2931181.5244893441</v>
      </c>
      <c r="M185" s="14">
        <f>+SUM($K$160:$K$162)+SUM(M181:M183)</f>
        <v>-2931181.5244893441</v>
      </c>
      <c r="N185" s="14">
        <f>+SUM($K$160:$K$162)+SUM(N181:N183)</f>
        <v>-2931181.5244893441</v>
      </c>
      <c r="O185" s="14">
        <f>+SUM($K$160:$K$162)+SUM(O181:O183)</f>
        <v>-2931181.5244893441</v>
      </c>
      <c r="P185" s="14">
        <f>+SUM(P160:P162)+SUM(P181:P183)</f>
        <v>46213069.410432108</v>
      </c>
    </row>
    <row r="186" spans="9:16" x14ac:dyDescent="0.2">
      <c r="I186" s="40"/>
      <c r="J186" s="1" t="s">
        <v>125</v>
      </c>
      <c r="K186" s="1">
        <f>+ABS(SUM(K181:P182)=$K$161)</f>
        <v>0</v>
      </c>
    </row>
    <row r="188" spans="9:16" x14ac:dyDescent="0.2">
      <c r="I188" s="36"/>
      <c r="J188" s="60" t="s">
        <v>189</v>
      </c>
    </row>
    <row r="189" spans="9:16" x14ac:dyDescent="0.2">
      <c r="I189" s="36"/>
      <c r="J189" s="1" t="s">
        <v>107</v>
      </c>
      <c r="K189" s="25">
        <f t="shared" ref="K189:P189" si="58">+K156</f>
        <v>44256</v>
      </c>
      <c r="L189" s="25">
        <f t="shared" si="58"/>
        <v>44562.25</v>
      </c>
      <c r="M189" s="25">
        <f t="shared" si="58"/>
        <v>44927.5</v>
      </c>
      <c r="N189" s="25">
        <f t="shared" si="58"/>
        <v>45292.75</v>
      </c>
      <c r="O189" s="25">
        <f t="shared" si="58"/>
        <v>45658</v>
      </c>
      <c r="P189" s="25">
        <f t="shared" si="58"/>
        <v>46023.25</v>
      </c>
    </row>
    <row r="190" spans="9:16" x14ac:dyDescent="0.2">
      <c r="I190" s="36" t="s">
        <v>129</v>
      </c>
      <c r="J190" s="1" t="str">
        <f>+"Repayment: "&amp;D163</f>
        <v>Repayment: Bullet</v>
      </c>
    </row>
    <row r="191" spans="9:16" x14ac:dyDescent="0.2">
      <c r="I191" s="36"/>
      <c r="J191" s="43" t="s">
        <v>118</v>
      </c>
      <c r="K191" s="14">
        <f t="shared" ref="K191:P191" si="59">+VLOOKUP($D$163,$I$156:$P$185,MATCH(K189,$I$156:$P$156,0),FALSE)</f>
        <v>-2841641.7942941543</v>
      </c>
      <c r="L191" s="14">
        <f t="shared" si="59"/>
        <v>-2931181.5244893441</v>
      </c>
      <c r="M191" s="14">
        <f t="shared" si="59"/>
        <v>-2931181.5244893441</v>
      </c>
      <c r="N191" s="14">
        <f t="shared" si="59"/>
        <v>-2931181.5244893441</v>
      </c>
      <c r="O191" s="14">
        <f t="shared" si="59"/>
        <v>-2931181.5244893441</v>
      </c>
      <c r="P191" s="14">
        <f t="shared" si="59"/>
        <v>46213069.410432108</v>
      </c>
    </row>
    <row r="192" spans="9:16" x14ac:dyDescent="0.2">
      <c r="I192" s="36"/>
    </row>
    <row r="193" spans="9:16" x14ac:dyDescent="0.2">
      <c r="I193" s="36"/>
      <c r="J193" s="37" t="s">
        <v>106</v>
      </c>
      <c r="K193" s="38">
        <f>+XIRR(K191:P191,K189:P189)</f>
        <v>0.42248025536537182</v>
      </c>
    </row>
    <row r="194" spans="9:16" x14ac:dyDescent="0.2">
      <c r="I194" s="36"/>
      <c r="J194" s="37" t="s">
        <v>130</v>
      </c>
      <c r="K194" s="37">
        <f>+XNPV(D166,K191:P191,K189:P189)</f>
        <v>3510802.422621293</v>
      </c>
    </row>
    <row r="195" spans="9:16" x14ac:dyDescent="0.2">
      <c r="I195" s="36"/>
      <c r="J195" s="37" t="s">
        <v>132</v>
      </c>
      <c r="K195" s="39">
        <f>+P191/-SUM(K191:O191)</f>
        <v>3.1725869998803757</v>
      </c>
    </row>
    <row r="197" spans="9:16" x14ac:dyDescent="0.2">
      <c r="I197" s="36"/>
      <c r="J197" s="60" t="s">
        <v>184</v>
      </c>
      <c r="K197" s="57">
        <f t="shared" ref="K197:P197" si="60">+K156</f>
        <v>44256</v>
      </c>
      <c r="L197" s="57">
        <f t="shared" si="60"/>
        <v>44562.25</v>
      </c>
      <c r="M197" s="57">
        <f t="shared" si="60"/>
        <v>44927.5</v>
      </c>
      <c r="N197" s="57">
        <f t="shared" si="60"/>
        <v>45292.75</v>
      </c>
      <c r="O197" s="57">
        <f t="shared" si="60"/>
        <v>45658</v>
      </c>
      <c r="P197" s="57">
        <f t="shared" si="60"/>
        <v>46023.25</v>
      </c>
    </row>
    <row r="198" spans="9:16" x14ac:dyDescent="0.2">
      <c r="I198" s="36"/>
      <c r="J198" s="1" t="s">
        <v>185</v>
      </c>
      <c r="K198" s="1">
        <f>+K161</f>
        <v>8684982.2947832402</v>
      </c>
      <c r="L198" s="1">
        <f>+K200</f>
        <v>8684982.2947832402</v>
      </c>
      <c r="M198" s="1">
        <f t="shared" ref="M198:P198" si="61">+L200</f>
        <v>3473992.9179132963</v>
      </c>
      <c r="N198" s="1">
        <f t="shared" si="61"/>
        <v>1389597.1671653185</v>
      </c>
      <c r="O198" s="1">
        <f t="shared" si="61"/>
        <v>555838.86686612747</v>
      </c>
      <c r="P198" s="1">
        <f t="shared" si="61"/>
        <v>222335.54674645094</v>
      </c>
    </row>
    <row r="199" spans="9:16" x14ac:dyDescent="0.2">
      <c r="I199" s="36"/>
      <c r="J199" s="1" t="str">
        <f>+I169&amp;" Repayment schedule"</f>
        <v>Accelerated Repayment schedule</v>
      </c>
      <c r="K199" s="1">
        <f>+K166</f>
        <v>0</v>
      </c>
      <c r="L199" s="1">
        <f>+L166</f>
        <v>-5210989.3768699439</v>
      </c>
      <c r="M199" s="1">
        <f>+M166</f>
        <v>-2084395.7507479778</v>
      </c>
      <c r="N199" s="1">
        <f>+N166</f>
        <v>-833758.30029919103</v>
      </c>
      <c r="O199" s="1">
        <f>+O166</f>
        <v>-333503.32011967653</v>
      </c>
      <c r="P199" s="1">
        <f>+P166+P167</f>
        <v>-222335.54674645065</v>
      </c>
    </row>
    <row r="200" spans="9:16" x14ac:dyDescent="0.2">
      <c r="I200" s="36"/>
      <c r="J200" s="4" t="s">
        <v>186</v>
      </c>
      <c r="K200" s="4">
        <f>+K198+K199</f>
        <v>8684982.2947832402</v>
      </c>
      <c r="L200" s="4">
        <f t="shared" ref="L200:P200" si="62">+L198+L199</f>
        <v>3473992.9179132963</v>
      </c>
      <c r="M200" s="4">
        <f t="shared" si="62"/>
        <v>1389597.1671653185</v>
      </c>
      <c r="N200" s="4">
        <f t="shared" si="62"/>
        <v>555838.86686612747</v>
      </c>
      <c r="O200" s="4">
        <f t="shared" si="62"/>
        <v>222335.54674645094</v>
      </c>
      <c r="P200" s="4">
        <f t="shared" si="62"/>
        <v>2.9103830456733704E-10</v>
      </c>
    </row>
    <row r="201" spans="9:16" x14ac:dyDescent="0.2">
      <c r="I201" s="36"/>
      <c r="P201" s="47" t="b">
        <f>+SUM(K199:P199)=-K198</f>
        <v>1</v>
      </c>
    </row>
    <row r="202" spans="9:16" x14ac:dyDescent="0.2">
      <c r="I202" s="36"/>
      <c r="J202" s="1" t="s">
        <v>185</v>
      </c>
      <c r="K202" s="1">
        <f>+K198</f>
        <v>8684982.2947832402</v>
      </c>
      <c r="L202" s="1">
        <f>+K204</f>
        <v>8684982.2947832402</v>
      </c>
      <c r="M202" s="1">
        <f t="shared" ref="M202:P202" si="63">+L204</f>
        <v>6947985.8358265925</v>
      </c>
      <c r="N202" s="1">
        <f t="shared" si="63"/>
        <v>5210989.3768699449</v>
      </c>
      <c r="O202" s="1">
        <f t="shared" si="63"/>
        <v>3473992.9179132967</v>
      </c>
      <c r="P202" s="1">
        <f t="shared" si="63"/>
        <v>1736996.4589566486</v>
      </c>
    </row>
    <row r="203" spans="9:16" x14ac:dyDescent="0.2">
      <c r="I203" s="36"/>
      <c r="J203" s="1" t="str">
        <f>+I177&amp;" Repayment schedule"</f>
        <v>Linear Repayment schedule</v>
      </c>
      <c r="K203" s="1">
        <f t="shared" ref="K203:P203" si="64">+K174</f>
        <v>0</v>
      </c>
      <c r="L203" s="1">
        <f t="shared" si="64"/>
        <v>-1736996.4589566481</v>
      </c>
      <c r="M203" s="1">
        <f t="shared" si="64"/>
        <v>-1736996.4589566481</v>
      </c>
      <c r="N203" s="1">
        <f t="shared" si="64"/>
        <v>-1736996.4589566481</v>
      </c>
      <c r="O203" s="1">
        <f t="shared" si="64"/>
        <v>-1736996.4589566481</v>
      </c>
      <c r="P203" s="1">
        <f t="shared" si="64"/>
        <v>-1736996.4589566481</v>
      </c>
    </row>
    <row r="204" spans="9:16" x14ac:dyDescent="0.2">
      <c r="I204" s="36"/>
      <c r="J204" s="4" t="s">
        <v>186</v>
      </c>
      <c r="K204" s="4">
        <f>+K202+K203</f>
        <v>8684982.2947832402</v>
      </c>
      <c r="L204" s="4">
        <f t="shared" ref="L204:P204" si="65">+L202+L203</f>
        <v>6947985.8358265925</v>
      </c>
      <c r="M204" s="4">
        <f t="shared" si="65"/>
        <v>5210989.3768699449</v>
      </c>
      <c r="N204" s="4">
        <f t="shared" si="65"/>
        <v>3473992.9179132967</v>
      </c>
      <c r="O204" s="4">
        <f t="shared" si="65"/>
        <v>1736996.4589566486</v>
      </c>
      <c r="P204" s="4">
        <f t="shared" si="65"/>
        <v>0</v>
      </c>
    </row>
    <row r="205" spans="9:16" x14ac:dyDescent="0.2">
      <c r="I205" s="36"/>
      <c r="P205" s="47" t="b">
        <f>+SUM(K203:P203)=-K202</f>
        <v>1</v>
      </c>
    </row>
    <row r="206" spans="9:16" x14ac:dyDescent="0.2">
      <c r="I206" s="36"/>
      <c r="J206" s="1" t="s">
        <v>185</v>
      </c>
      <c r="K206" s="1">
        <f>+K198</f>
        <v>8684982.2947832402</v>
      </c>
      <c r="L206" s="1">
        <f>+K208</f>
        <v>8684982.2947832402</v>
      </c>
      <c r="M206" s="1">
        <f t="shared" ref="M206:P206" si="66">+L208</f>
        <v>8684982.2947832402</v>
      </c>
      <c r="N206" s="1">
        <f t="shared" si="66"/>
        <v>8684982.2947832402</v>
      </c>
      <c r="O206" s="1">
        <f t="shared" si="66"/>
        <v>8684982.2947832402</v>
      </c>
      <c r="P206" s="1">
        <f t="shared" si="66"/>
        <v>8684982.2947832402</v>
      </c>
    </row>
    <row r="207" spans="9:16" x14ac:dyDescent="0.2">
      <c r="I207" s="36"/>
      <c r="J207" s="1" t="str">
        <f>+I185&amp;" Repayment schedule"</f>
        <v>Bullet Repayment schedule</v>
      </c>
      <c r="K207" s="1">
        <f t="shared" ref="K207:P207" si="67">+K182</f>
        <v>0</v>
      </c>
      <c r="L207" s="1">
        <f t="shared" si="67"/>
        <v>0</v>
      </c>
      <c r="M207" s="1">
        <f t="shared" si="67"/>
        <v>0</v>
      </c>
      <c r="N207" s="1">
        <f t="shared" si="67"/>
        <v>0</v>
      </c>
      <c r="O207" s="1">
        <f t="shared" si="67"/>
        <v>0</v>
      </c>
      <c r="P207" s="1">
        <f t="shared" si="67"/>
        <v>-8684982.2947832402</v>
      </c>
    </row>
    <row r="208" spans="9:16" x14ac:dyDescent="0.2">
      <c r="I208" s="36"/>
      <c r="J208" s="4" t="s">
        <v>186</v>
      </c>
      <c r="K208" s="4">
        <f>+K206+K207</f>
        <v>8684982.2947832402</v>
      </c>
      <c r="L208" s="4">
        <f t="shared" ref="L208:P208" si="68">+L206+L207</f>
        <v>8684982.2947832402</v>
      </c>
      <c r="M208" s="4">
        <f t="shared" si="68"/>
        <v>8684982.2947832402</v>
      </c>
      <c r="N208" s="4">
        <f t="shared" si="68"/>
        <v>8684982.2947832402</v>
      </c>
      <c r="O208" s="4">
        <f t="shared" si="68"/>
        <v>8684982.2947832402</v>
      </c>
      <c r="P208" s="4">
        <f t="shared" si="68"/>
        <v>0</v>
      </c>
    </row>
    <row r="209" spans="10:16" x14ac:dyDescent="0.2">
      <c r="P209" s="47" t="b">
        <f>+SUM(K207:P207)=-K206</f>
        <v>1</v>
      </c>
    </row>
    <row r="210" spans="10:16" x14ac:dyDescent="0.2">
      <c r="K210" s="63" t="s">
        <v>122</v>
      </c>
      <c r="L210" s="63" t="s">
        <v>120</v>
      </c>
      <c r="M210" s="63" t="s">
        <v>121</v>
      </c>
    </row>
    <row r="211" spans="10:16" x14ac:dyDescent="0.2">
      <c r="J211" s="37" t="s">
        <v>106</v>
      </c>
      <c r="K211" s="38">
        <v>0.47749927639961232</v>
      </c>
      <c r="L211" s="38">
        <v>0.56142093539237969</v>
      </c>
      <c r="M211" s="38">
        <v>0.42248025536537182</v>
      </c>
    </row>
    <row r="212" spans="10:16" x14ac:dyDescent="0.2">
      <c r="J212" s="37" t="s">
        <v>130</v>
      </c>
      <c r="K212" s="37">
        <v>6200238.2129975986</v>
      </c>
      <c r="L212" s="37">
        <v>7483164.8472979376</v>
      </c>
      <c r="M212" s="37">
        <v>3510802.422621293</v>
      </c>
    </row>
    <row r="213" spans="10:16" x14ac:dyDescent="0.2">
      <c r="J213" s="37" t="s">
        <v>132</v>
      </c>
      <c r="K213" s="39">
        <v>4.5842470353201978</v>
      </c>
      <c r="L213" s="39">
        <v>4.8317248997611841</v>
      </c>
      <c r="M213" s="39">
        <v>3.1725869998803757</v>
      </c>
    </row>
  </sheetData>
  <mergeCells count="5">
    <mergeCell ref="I2:P4"/>
    <mergeCell ref="F2:F4"/>
    <mergeCell ref="C2:C4"/>
    <mergeCell ref="B2:B4"/>
    <mergeCell ref="D2:D4"/>
  </mergeCells>
  <phoneticPr fontId="6" type="noConversion"/>
  <conditionalFormatting sqref="K28:P28 K38:P38 K45:P45 K31:P31 K68:P69">
    <cfRule type="cellIs" dxfId="8" priority="11" operator="lessThan">
      <formula>0</formula>
    </cfRule>
  </conditionalFormatting>
  <conditionalFormatting sqref="K58:P58">
    <cfRule type="cellIs" dxfId="7" priority="8" operator="lessThan">
      <formula>0</formula>
    </cfRule>
  </conditionalFormatting>
  <conditionalFormatting sqref="R36">
    <cfRule type="cellIs" dxfId="6" priority="6" operator="greaterThan">
      <formula>0</formula>
    </cfRule>
    <cfRule type="cellIs" dxfId="5" priority="7" operator="lessThan">
      <formula>0</formula>
    </cfRule>
  </conditionalFormatting>
  <conditionalFormatting sqref="K85:P86">
    <cfRule type="cellIs" dxfId="4" priority="5" operator="lessThan">
      <formula>0</formula>
    </cfRule>
  </conditionalFormatting>
  <conditionalFormatting sqref="K88:P88">
    <cfRule type="cellIs" dxfId="3" priority="4" operator="lessThan">
      <formula>0</formula>
    </cfRule>
  </conditionalFormatting>
  <conditionalFormatting sqref="K89:P89">
    <cfRule type="cellIs" dxfId="2" priority="3" operator="lessThan">
      <formula>0</formula>
    </cfRule>
  </conditionalFormatting>
  <conditionalFormatting sqref="K90:P90">
    <cfRule type="cellIs" dxfId="1" priority="2" operator="lessThan">
      <formula>0</formula>
    </cfRule>
  </conditionalFormatting>
  <conditionalFormatting sqref="K91:P91">
    <cfRule type="cellIs" dxfId="0" priority="1" operator="lessThan">
      <formula>0</formula>
    </cfRule>
  </conditionalFormatting>
  <dataValidations count="1">
    <dataValidation type="list" allowBlank="1" showInputMessage="1" showErrorMessage="1" sqref="D163" xr:uid="{DC1BA7D5-318C-E74B-B80D-3AADB67742E6}">
      <formula1>$F$163:$F$165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Dunai</dc:creator>
  <cp:lastModifiedBy>Daniel Dunai</cp:lastModifiedBy>
  <dcterms:created xsi:type="dcterms:W3CDTF">2020-09-15T08:38:13Z</dcterms:created>
  <dcterms:modified xsi:type="dcterms:W3CDTF">2020-09-25T08:42:25Z</dcterms:modified>
</cp:coreProperties>
</file>