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WorkingFPY/Enerhash/Github/Trading business model, valuation, LBO/"/>
    </mc:Choice>
  </mc:AlternateContent>
  <xr:revisionPtr revIDLastSave="0" documentId="13_ncr:1_{6A7357F9-5B89-C140-BEC3-E0A4A87C396B}" xr6:coauthVersionLast="45" xr6:coauthVersionMax="45" xr10:uidLastSave="{00000000-0000-0000-0000-000000000000}"/>
  <bookViews>
    <workbookView xWindow="-280" yWindow="460" windowWidth="27900" windowHeight="16520" xr2:uid="{9768E044-263F-454C-A79F-3CADF8D3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3" i="1" l="1"/>
  <c r="J162" i="1"/>
  <c r="J160" i="1"/>
  <c r="J159" i="1"/>
  <c r="K147" i="1"/>
  <c r="K146" i="1"/>
  <c r="K145" i="1"/>
  <c r="K144" i="1"/>
  <c r="K143" i="1"/>
  <c r="K142" i="1"/>
  <c r="K139" i="1"/>
  <c r="K138" i="1" s="1"/>
  <c r="K137" i="1" s="1"/>
  <c r="K136" i="1" s="1"/>
  <c r="K140" i="1"/>
  <c r="K159" i="1" l="1"/>
  <c r="L67" i="1" l="1"/>
  <c r="P70" i="1" l="1"/>
  <c r="O70" i="1"/>
  <c r="O159" i="1" s="1"/>
  <c r="N70" i="1"/>
  <c r="N159" i="1" s="1"/>
  <c r="M70" i="1"/>
  <c r="M159" i="1" s="1"/>
  <c r="L70" i="1"/>
  <c r="L159" i="1" s="1"/>
  <c r="K70" i="1"/>
  <c r="K154" i="1" s="1"/>
  <c r="J38" i="1"/>
  <c r="L38" i="1"/>
  <c r="L69" i="1" s="1"/>
  <c r="L153" i="1" s="1"/>
  <c r="K38" i="1"/>
  <c r="K69" i="1" s="1"/>
  <c r="K153" i="1" s="1"/>
  <c r="M67" i="1"/>
  <c r="N67" i="1" s="1"/>
  <c r="O67" i="1" s="1"/>
  <c r="P67" i="1" s="1"/>
  <c r="P38" i="1" s="1"/>
  <c r="P69" i="1" s="1"/>
  <c r="P153" i="1" s="1"/>
  <c r="K66" i="1"/>
  <c r="L66" i="1" s="1"/>
  <c r="O154" i="1" l="1"/>
  <c r="P154" i="1"/>
  <c r="N154" i="1"/>
  <c r="M154" i="1"/>
  <c r="L154" i="1"/>
  <c r="O38" i="1"/>
  <c r="O69" i="1" s="1"/>
  <c r="O153" i="1" s="1"/>
  <c r="O156" i="1" s="1"/>
  <c r="M38" i="1"/>
  <c r="M69" i="1" s="1"/>
  <c r="M153" i="1" s="1"/>
  <c r="N38" i="1"/>
  <c r="N69" i="1" s="1"/>
  <c r="N153" i="1" s="1"/>
  <c r="M66" i="1"/>
  <c r="K35" i="1"/>
  <c r="O160" i="1" l="1"/>
  <c r="N156" i="1"/>
  <c r="N160" i="1"/>
  <c r="M156" i="1"/>
  <c r="M160" i="1"/>
  <c r="L160" i="1"/>
  <c r="L156" i="1"/>
  <c r="N66" i="1"/>
  <c r="K62" i="1"/>
  <c r="K151" i="1"/>
  <c r="L151" i="1"/>
  <c r="P78" i="1"/>
  <c r="O78" i="1"/>
  <c r="N78" i="1"/>
  <c r="M78" i="1"/>
  <c r="L78" i="1"/>
  <c r="K78" i="1"/>
  <c r="M151" i="1" l="1"/>
  <c r="O66" i="1"/>
  <c r="D37" i="1"/>
  <c r="R38" i="1"/>
  <c r="P13" i="1"/>
  <c r="O13" i="1"/>
  <c r="N13" i="1"/>
  <c r="M13" i="1"/>
  <c r="L13" i="1"/>
  <c r="K13" i="1"/>
  <c r="N151" i="1" l="1"/>
  <c r="P66" i="1"/>
  <c r="M62" i="1"/>
  <c r="N62" i="1"/>
  <c r="O62" i="1"/>
  <c r="P62" i="1"/>
  <c r="L62" i="1"/>
  <c r="K122" i="1" l="1"/>
  <c r="L121" i="1"/>
  <c r="L122" i="1" s="1"/>
  <c r="F36" i="1"/>
  <c r="P116" i="1"/>
  <c r="K54" i="1"/>
  <c r="K55" i="1" s="1"/>
  <c r="K18" i="1" s="1"/>
  <c r="P33" i="1"/>
  <c r="P117" i="1" s="1"/>
  <c r="O33" i="1"/>
  <c r="O117" i="1" s="1"/>
  <c r="N33" i="1"/>
  <c r="N117" i="1" s="1"/>
  <c r="M33" i="1"/>
  <c r="M117" i="1" s="1"/>
  <c r="L33" i="1"/>
  <c r="L117" i="1" s="1"/>
  <c r="K32" i="1"/>
  <c r="K33" i="1" s="1"/>
  <c r="P25" i="1"/>
  <c r="F51" i="1"/>
  <c r="F44" i="1"/>
  <c r="F41" i="1"/>
  <c r="F40" i="1"/>
  <c r="J24" i="1"/>
  <c r="K117" i="1" l="1"/>
  <c r="K160" i="1"/>
  <c r="K152" i="1"/>
  <c r="K156" i="1" s="1"/>
  <c r="L54" i="1"/>
  <c r="M54" i="1" s="1"/>
  <c r="N54" i="1" s="1"/>
  <c r="O54" i="1" s="1"/>
  <c r="M121" i="1"/>
  <c r="M122" i="1" s="1"/>
  <c r="K56" i="1"/>
  <c r="L55" i="1"/>
  <c r="M55" i="1" s="1"/>
  <c r="N55" i="1" s="1"/>
  <c r="O55" i="1" s="1"/>
  <c r="O56" i="1" l="1"/>
  <c r="N121" i="1"/>
  <c r="O121" i="1" s="1"/>
  <c r="L18" i="1"/>
  <c r="L116" i="1" s="1"/>
  <c r="K116" i="1"/>
  <c r="K25" i="1"/>
  <c r="L56" i="1"/>
  <c r="L25" i="1" l="1"/>
  <c r="M18" i="1"/>
  <c r="M116" i="1" s="1"/>
  <c r="O151" i="1"/>
  <c r="N122" i="1"/>
  <c r="P121" i="1"/>
  <c r="P122" i="1" s="1"/>
  <c r="O122" i="1"/>
  <c r="M56" i="1"/>
  <c r="M25" i="1" l="1"/>
  <c r="N18" i="1"/>
  <c r="N116" i="1" s="1"/>
  <c r="P151" i="1"/>
  <c r="N56" i="1"/>
  <c r="N25" i="1" l="1"/>
  <c r="O18" i="1"/>
  <c r="O25" i="1" s="1"/>
  <c r="O116" i="1"/>
  <c r="F23" i="1" l="1"/>
  <c r="F24" i="1" s="1"/>
  <c r="F22" i="1"/>
  <c r="F17" i="1"/>
  <c r="P16" i="1" l="1"/>
  <c r="P2" i="1" s="1"/>
  <c r="P3" i="1" s="1"/>
  <c r="N16" i="1"/>
  <c r="N2" i="1" s="1"/>
  <c r="N3" i="1" s="1"/>
  <c r="O16" i="1"/>
  <c r="O2" i="1" s="1"/>
  <c r="O3" i="1" s="1"/>
  <c r="M16" i="1"/>
  <c r="M2" i="1" s="1"/>
  <c r="M3" i="1" s="1"/>
  <c r="K16" i="1"/>
  <c r="L16" i="1"/>
  <c r="L2" i="1" s="1"/>
  <c r="L3" i="1" s="1"/>
  <c r="F9" i="1"/>
  <c r="F8" i="1"/>
  <c r="F11" i="1"/>
  <c r="D10" i="1"/>
  <c r="F31" i="1" s="1"/>
  <c r="D31" i="1" s="1"/>
  <c r="K2" i="1" l="1"/>
  <c r="K3" i="1" s="1"/>
  <c r="O14" i="1"/>
  <c r="N14" i="1"/>
  <c r="M14" i="1"/>
  <c r="L14" i="1"/>
  <c r="P14" i="1"/>
  <c r="K14" i="1"/>
  <c r="D13" i="1"/>
  <c r="D15" i="1" s="1"/>
  <c r="F10" i="1"/>
  <c r="D18" i="1" l="1"/>
  <c r="L36" i="1"/>
  <c r="K42" i="1"/>
  <c r="P60" i="1"/>
  <c r="P51" i="1"/>
  <c r="L51" i="1"/>
  <c r="L60" i="1"/>
  <c r="M60" i="1"/>
  <c r="M51" i="1"/>
  <c r="O60" i="1"/>
  <c r="O51" i="1"/>
  <c r="N60" i="1"/>
  <c r="N51" i="1"/>
  <c r="K60" i="1"/>
  <c r="D64" i="1" s="1"/>
  <c r="K51" i="1"/>
  <c r="D63" i="1" s="1"/>
  <c r="F15" i="1"/>
  <c r="F14" i="1"/>
  <c r="F13" i="1"/>
  <c r="D30" i="1" l="1"/>
  <c r="K19" i="1" s="1"/>
  <c r="F30" i="1"/>
  <c r="K17" i="1"/>
  <c r="P17" i="1"/>
  <c r="O17" i="1"/>
  <c r="L17" i="1"/>
  <c r="N17" i="1"/>
  <c r="M17" i="1"/>
  <c r="D19" i="1"/>
  <c r="F19" i="1" s="1"/>
  <c r="K27" i="1"/>
  <c r="L27" i="1"/>
  <c r="K28" i="1"/>
  <c r="F18" i="1"/>
  <c r="F16" i="1" s="1"/>
  <c r="K12" i="1" l="1"/>
  <c r="L12" i="1"/>
  <c r="L50" i="1" s="1"/>
  <c r="M12" i="1"/>
  <c r="M50" i="1" s="1"/>
  <c r="N19" i="1"/>
  <c r="L19" i="1"/>
  <c r="P19" i="1"/>
  <c r="O19" i="1"/>
  <c r="M19" i="1"/>
  <c r="P12" i="1"/>
  <c r="P50" i="1" s="1"/>
  <c r="O12" i="1"/>
  <c r="O50" i="1" s="1"/>
  <c r="N12" i="1"/>
  <c r="N50" i="1" s="1"/>
  <c r="L28" i="1"/>
  <c r="M27" i="1"/>
  <c r="P79" i="1" l="1" a="1"/>
  <c r="P79" i="1" s="1"/>
  <c r="L15" i="1"/>
  <c r="L110" i="1" s="1"/>
  <c r="L111" i="1" s="1"/>
  <c r="L115" i="1" s="1"/>
  <c r="L79" i="1" a="1"/>
  <c r="L79" i="1" s="1"/>
  <c r="M79" i="1" a="1"/>
  <c r="M79" i="1" s="1"/>
  <c r="O79" i="1" a="1"/>
  <c r="O79" i="1" s="1"/>
  <c r="N79" i="1" a="1"/>
  <c r="N79" i="1" s="1"/>
  <c r="M26" i="1"/>
  <c r="K15" i="1"/>
  <c r="K50" i="1"/>
  <c r="D62" i="1" s="1"/>
  <c r="M28" i="1"/>
  <c r="M15" i="1"/>
  <c r="M110" i="1" s="1"/>
  <c r="L20" i="1" l="1"/>
  <c r="L21" i="1" s="1"/>
  <c r="L96" i="1"/>
  <c r="L105" i="1"/>
  <c r="M96" i="1"/>
  <c r="M80" i="1"/>
  <c r="M86" i="1"/>
  <c r="M87" i="1"/>
  <c r="L86" i="1"/>
  <c r="L87" i="1"/>
  <c r="K26" i="1"/>
  <c r="K110" i="1"/>
  <c r="L80" i="1" s="1"/>
  <c r="K20" i="1"/>
  <c r="N27" i="1"/>
  <c r="L26" i="1"/>
  <c r="M111" i="1"/>
  <c r="M115" i="1" s="1"/>
  <c r="O27" i="1"/>
  <c r="N28" i="1"/>
  <c r="N26" i="1"/>
  <c r="M20" i="1"/>
  <c r="N15" i="1"/>
  <c r="N110" i="1" s="1"/>
  <c r="L24" i="1" l="1"/>
  <c r="L30" i="1" s="1"/>
  <c r="L97" i="1"/>
  <c r="L88" i="1"/>
  <c r="L68" i="1"/>
  <c r="M105" i="1"/>
  <c r="N96" i="1"/>
  <c r="K96" i="1"/>
  <c r="K111" i="1"/>
  <c r="K115" i="1" s="1"/>
  <c r="K87" i="1"/>
  <c r="K86" i="1"/>
  <c r="N87" i="1"/>
  <c r="N80" i="1"/>
  <c r="N86" i="1"/>
  <c r="O26" i="1"/>
  <c r="N111" i="1"/>
  <c r="N115" i="1" s="1"/>
  <c r="M21" i="1"/>
  <c r="M97" i="1" s="1"/>
  <c r="O28" i="1"/>
  <c r="N20" i="1"/>
  <c r="O15" i="1"/>
  <c r="O110" i="1" s="1"/>
  <c r="K105" i="1" l="1"/>
  <c r="N105" i="1"/>
  <c r="O96" i="1"/>
  <c r="O87" i="1"/>
  <c r="O80" i="1"/>
  <c r="O86" i="1"/>
  <c r="M83" i="1"/>
  <c r="M88" i="1"/>
  <c r="P27" i="1"/>
  <c r="O111" i="1"/>
  <c r="O115" i="1" s="1"/>
  <c r="M24" i="1"/>
  <c r="M30" i="1" s="1"/>
  <c r="M68" i="1"/>
  <c r="P28" i="1"/>
  <c r="P15" i="1"/>
  <c r="P155" i="1" s="1"/>
  <c r="O20" i="1"/>
  <c r="N21" i="1"/>
  <c r="N97" i="1" s="1"/>
  <c r="P156" i="1" l="1"/>
  <c r="K161" i="1" s="1"/>
  <c r="P159" i="1"/>
  <c r="K162" i="1" s="1"/>
  <c r="P160" i="1"/>
  <c r="O105" i="1"/>
  <c r="N83" i="1"/>
  <c r="N88" i="1"/>
  <c r="M81" i="1"/>
  <c r="M82" i="1"/>
  <c r="P26" i="1"/>
  <c r="P110" i="1"/>
  <c r="P20" i="1"/>
  <c r="P21" i="1" s="1"/>
  <c r="P97" i="1" s="1"/>
  <c r="N24" i="1"/>
  <c r="N30" i="1" s="1"/>
  <c r="N68" i="1"/>
  <c r="O21" i="1"/>
  <c r="O97" i="1" s="1"/>
  <c r="P96" i="1" l="1"/>
  <c r="P88" i="1"/>
  <c r="O88" i="1"/>
  <c r="P80" i="1"/>
  <c r="P86" i="1"/>
  <c r="P87" i="1"/>
  <c r="N82" i="1"/>
  <c r="N81" i="1"/>
  <c r="P83" i="1"/>
  <c r="O83" i="1"/>
  <c r="P111" i="1"/>
  <c r="P115" i="1" s="1"/>
  <c r="P24" i="1"/>
  <c r="P30" i="1" s="1"/>
  <c r="P68" i="1"/>
  <c r="O24" i="1"/>
  <c r="O30" i="1" s="1"/>
  <c r="O68" i="1"/>
  <c r="P105" i="1" l="1"/>
  <c r="O81" i="1"/>
  <c r="O82" i="1"/>
  <c r="P81" i="1"/>
  <c r="P82" i="1"/>
  <c r="K61" i="1"/>
  <c r="L39" i="1"/>
  <c r="K63" i="1" l="1"/>
  <c r="K91" i="1"/>
  <c r="L42" i="1"/>
  <c r="M36" i="1"/>
  <c r="M39" i="1"/>
  <c r="L61" i="1"/>
  <c r="L63" i="1" l="1"/>
  <c r="L91" i="1"/>
  <c r="M42" i="1"/>
  <c r="M45" i="1" s="1"/>
  <c r="N39" i="1"/>
  <c r="M61" i="1"/>
  <c r="N36" i="1"/>
  <c r="N42" i="1" l="1"/>
  <c r="N45" i="1" s="1"/>
  <c r="M63" i="1"/>
  <c r="M91" i="1"/>
  <c r="N61" i="1"/>
  <c r="O39" i="1"/>
  <c r="O36" i="1"/>
  <c r="N63" i="1" l="1"/>
  <c r="N91" i="1"/>
  <c r="P36" i="1"/>
  <c r="O42" i="1"/>
  <c r="O45" i="1" s="1"/>
  <c r="P39" i="1"/>
  <c r="O61" i="1"/>
  <c r="O63" i="1" l="1"/>
  <c r="O91" i="1"/>
  <c r="P42" i="1"/>
  <c r="P45" i="1" s="1"/>
  <c r="P61" i="1"/>
  <c r="P63" i="1" l="1"/>
  <c r="P91" i="1"/>
  <c r="L45" i="1"/>
  <c r="K21" i="1"/>
  <c r="K97" i="1" l="1"/>
  <c r="K88" i="1"/>
  <c r="L83" i="1"/>
  <c r="K68" i="1"/>
  <c r="K71" i="1" s="1"/>
  <c r="L71" i="1" s="1"/>
  <c r="K24" i="1"/>
  <c r="K30" i="1" s="1"/>
  <c r="K72" i="1" l="1"/>
  <c r="K93" i="1" s="1"/>
  <c r="K45" i="1"/>
  <c r="K46" i="1" s="1"/>
  <c r="K49" i="1" s="1"/>
  <c r="L82" i="1"/>
  <c r="L81" i="1"/>
  <c r="L72" i="1" l="1"/>
  <c r="L93" i="1" s="1"/>
  <c r="M71" i="1"/>
  <c r="N71" i="1" s="1"/>
  <c r="O71" i="1" s="1"/>
  <c r="P71" i="1" s="1"/>
  <c r="L44" i="1"/>
  <c r="L46" i="1" s="1"/>
  <c r="M44" i="1" s="1"/>
  <c r="M46" i="1" s="1"/>
  <c r="M49" i="1" s="1"/>
  <c r="M92" i="1" s="1"/>
  <c r="L107" i="1" l="1"/>
  <c r="M72" i="1"/>
  <c r="M93" i="1" s="1"/>
  <c r="M101" i="1" s="1"/>
  <c r="N72" i="1"/>
  <c r="L49" i="1"/>
  <c r="L92" i="1" s="1"/>
  <c r="L95" i="1" s="1"/>
  <c r="M95" i="1"/>
  <c r="N44" i="1"/>
  <c r="N46" i="1" s="1"/>
  <c r="N49" i="1" s="1"/>
  <c r="N92" i="1" s="1"/>
  <c r="O72" i="1" l="1"/>
  <c r="N93" i="1"/>
  <c r="N101" i="1" s="1"/>
  <c r="N106" i="1" s="1"/>
  <c r="L52" i="1"/>
  <c r="L113" i="1" s="1"/>
  <c r="L100" i="1" s="1"/>
  <c r="L94" i="1"/>
  <c r="L101" i="1"/>
  <c r="M106" i="1" s="1"/>
  <c r="M107" i="1"/>
  <c r="N107" i="1"/>
  <c r="M102" i="1"/>
  <c r="M94" i="1"/>
  <c r="N95" i="1"/>
  <c r="O44" i="1"/>
  <c r="O46" i="1" s="1"/>
  <c r="O49" i="1" s="1"/>
  <c r="O92" i="1" s="1"/>
  <c r="M52" i="1"/>
  <c r="M113" i="1" s="1"/>
  <c r="M100" i="1" s="1"/>
  <c r="M75" i="1"/>
  <c r="N94" i="1" l="1"/>
  <c r="P72" i="1"/>
  <c r="L58" i="1"/>
  <c r="L74" i="1" s="1"/>
  <c r="L102" i="1"/>
  <c r="N102" i="1"/>
  <c r="O95" i="1"/>
  <c r="M58" i="1"/>
  <c r="M74" i="1" s="1"/>
  <c r="N75" i="1"/>
  <c r="N52" i="1"/>
  <c r="N113" i="1" s="1"/>
  <c r="N100" i="1" s="1"/>
  <c r="P44" i="1"/>
  <c r="P46" i="1" s="1"/>
  <c r="P49" i="1" s="1"/>
  <c r="P92" i="1" s="1"/>
  <c r="P107" i="1" l="1"/>
  <c r="O93" i="1"/>
  <c r="O107" i="1"/>
  <c r="P95" i="1"/>
  <c r="M118" i="1"/>
  <c r="M119" i="1" s="1"/>
  <c r="M124" i="1" s="1"/>
  <c r="O75" i="1"/>
  <c r="O52" i="1"/>
  <c r="O113" i="1" s="1"/>
  <c r="O100" i="1" s="1"/>
  <c r="N58" i="1"/>
  <c r="N74" i="1" s="1"/>
  <c r="O101" i="1" l="1"/>
  <c r="O94" i="1"/>
  <c r="P93" i="1"/>
  <c r="N118" i="1"/>
  <c r="N119" i="1" s="1"/>
  <c r="N124" i="1" s="1"/>
  <c r="O58" i="1"/>
  <c r="O74" i="1" s="1"/>
  <c r="P52" i="1"/>
  <c r="P113" i="1" s="1"/>
  <c r="P75" i="1"/>
  <c r="K163" i="1" l="1"/>
  <c r="P101" i="1"/>
  <c r="P102" i="1" s="1"/>
  <c r="P94" i="1"/>
  <c r="O106" i="1"/>
  <c r="O102" i="1"/>
  <c r="P100" i="1"/>
  <c r="P118" i="1"/>
  <c r="O118" i="1"/>
  <c r="O119" i="1" s="1"/>
  <c r="O124" i="1" s="1"/>
  <c r="P58" i="1"/>
  <c r="P74" i="1" s="1"/>
  <c r="P106" i="1" l="1"/>
  <c r="P119" i="1"/>
  <c r="P124" i="1" s="1"/>
  <c r="P126" i="1" l="1"/>
  <c r="K127" i="1" s="1"/>
  <c r="K130" i="1" s="1"/>
  <c r="K75" i="1"/>
  <c r="L75" i="1"/>
  <c r="K92" i="1"/>
  <c r="K52" i="1"/>
  <c r="K58" i="1" l="1"/>
  <c r="K74" i="1" s="1"/>
  <c r="K113" i="1"/>
  <c r="K118" i="1" s="1"/>
  <c r="K119" i="1" s="1"/>
  <c r="K124" i="1" s="1"/>
  <c r="K94" i="1"/>
  <c r="K101" i="1"/>
  <c r="K95" i="1"/>
  <c r="K102" i="1" l="1"/>
  <c r="L106" i="1"/>
  <c r="K100" i="1"/>
  <c r="L118" i="1"/>
  <c r="L119" i="1" s="1"/>
  <c r="L124" i="1" s="1"/>
  <c r="K129" i="1" s="1"/>
  <c r="K131" i="1" s="1"/>
  <c r="L130" i="1" s="1"/>
  <c r="L129" i="1" l="1"/>
  <c r="L131" i="1" s="1"/>
  <c r="K1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<sst xmlns="http://schemas.openxmlformats.org/spreadsheetml/2006/main" count="220" uniqueCount="173">
  <si>
    <t>mt</t>
  </si>
  <si>
    <t>Product</t>
  </si>
  <si>
    <t>Freight</t>
  </si>
  <si>
    <t>ITEM</t>
  </si>
  <si>
    <t>FOB</t>
  </si>
  <si>
    <t>%</t>
  </si>
  <si>
    <t>CIF</t>
  </si>
  <si>
    <t>Insurance</t>
  </si>
  <si>
    <t>$/mt</t>
  </si>
  <si>
    <t>Parcel size</t>
  </si>
  <si>
    <t>Index</t>
  </si>
  <si>
    <t>$/MT Index disc</t>
  </si>
  <si>
    <t>PnL share</t>
  </si>
  <si>
    <t>No</t>
  </si>
  <si>
    <t>Ultimate marketed buyer margin</t>
  </si>
  <si>
    <t>Revenue</t>
  </si>
  <si>
    <t>Cost of Goods Sold</t>
  </si>
  <si>
    <t xml:space="preserve">   Gross margin</t>
  </si>
  <si>
    <t>Corporate overheads</t>
  </si>
  <si>
    <t>Financing charges</t>
  </si>
  <si>
    <t>Net Income</t>
  </si>
  <si>
    <t>Marketing revenue</t>
  </si>
  <si>
    <t>Tax</t>
  </si>
  <si>
    <t>Corporate Income tax</t>
  </si>
  <si>
    <t>Dividend tax</t>
  </si>
  <si>
    <t>CFR</t>
  </si>
  <si>
    <t>UoM</t>
  </si>
  <si>
    <t>Days</t>
  </si>
  <si>
    <t>Financing</t>
  </si>
  <si>
    <t>DES SALE</t>
  </si>
  <si>
    <t>Req. financing term per cargo</t>
  </si>
  <si>
    <t>Year 1</t>
  </si>
  <si>
    <t>Year 2</t>
  </si>
  <si>
    <t>Year 3</t>
  </si>
  <si>
    <t>Year 4</t>
  </si>
  <si>
    <t>Year 5</t>
  </si>
  <si>
    <t>Inflation</t>
  </si>
  <si>
    <t>INCOME STATEMENT</t>
  </si>
  <si>
    <t>CASH FLOW STATEMENT</t>
  </si>
  <si>
    <t>Year 0</t>
  </si>
  <si>
    <t>Accounts receivable</t>
  </si>
  <si>
    <t>CHECK</t>
  </si>
  <si>
    <t>Inventory</t>
  </si>
  <si>
    <t>Cash</t>
  </si>
  <si>
    <t>TOTAL CURRENT ASSETS</t>
  </si>
  <si>
    <t>Office equipment &amp; IT</t>
  </si>
  <si>
    <t>Capex</t>
  </si>
  <si>
    <t>Initial office &amp; equipment purchase</t>
  </si>
  <si>
    <t>Depreciation</t>
  </si>
  <si>
    <t>Accumulated depreciation</t>
  </si>
  <si>
    <t>TOTAL NON-CURRENT ASSETS</t>
  </si>
  <si>
    <t>TOTAL ASSETS</t>
  </si>
  <si>
    <t>Accounts Payabale</t>
  </si>
  <si>
    <t>EQUITY</t>
  </si>
  <si>
    <t>Equity</t>
  </si>
  <si>
    <t>Incorporation</t>
  </si>
  <si>
    <t>Retained earnings</t>
  </si>
  <si>
    <t>TOTAL EQUITY</t>
  </si>
  <si>
    <t>Change in AR</t>
  </si>
  <si>
    <t>Change in inventory</t>
  </si>
  <si>
    <t>Change in AP</t>
  </si>
  <si>
    <t>Purchase of equipment &amp; IT</t>
  </si>
  <si>
    <t>INVESTING CASH FLOW</t>
  </si>
  <si>
    <t>Proceeds from trade finance</t>
  </si>
  <si>
    <t>Repayments of trade finance</t>
  </si>
  <si>
    <t>CASH FLOW FROM FINANCING</t>
  </si>
  <si>
    <t>Beginning cash</t>
  </si>
  <si>
    <t>Change in cash for the period</t>
  </si>
  <si>
    <t>Ending cash</t>
  </si>
  <si>
    <t>Trade finance</t>
  </si>
  <si>
    <t>Net income for the year</t>
  </si>
  <si>
    <t>Trade finance debt assumed</t>
  </si>
  <si>
    <t>BALANCE CHECK</t>
  </si>
  <si>
    <t>CASH CHECK</t>
  </si>
  <si>
    <t>EBIT</t>
  </si>
  <si>
    <t>DD&amp;A</t>
  </si>
  <si>
    <t>EBIT*(1-t)</t>
  </si>
  <si>
    <t>Change in W/C</t>
  </si>
  <si>
    <t>TOTAL CURRENT LIABILITIES</t>
  </si>
  <si>
    <t>FCFF</t>
  </si>
  <si>
    <t>WACC</t>
  </si>
  <si>
    <t>Year</t>
  </si>
  <si>
    <t>PV of FCFF</t>
  </si>
  <si>
    <t>Terminal value</t>
  </si>
  <si>
    <t>Perpetuity growth</t>
  </si>
  <si>
    <t>PV of TV</t>
  </si>
  <si>
    <t>Discount</t>
  </si>
  <si>
    <t>PV of FCF</t>
  </si>
  <si>
    <t>Enterprise value</t>
  </si>
  <si>
    <t>Cargoes financed over y.e.</t>
  </si>
  <si>
    <t>CIF/DES cargoes over y.e.</t>
  </si>
  <si>
    <t>Marketed over y.e.</t>
  </si>
  <si>
    <t>USD</t>
  </si>
  <si>
    <t>GROWTH</t>
  </si>
  <si>
    <t>VALUE</t>
  </si>
  <si>
    <t>PER CARGO</t>
  </si>
  <si>
    <t>BALANCE SHEET</t>
  </si>
  <si>
    <t>DISCOUNTED CASH FLOW ANALYSIS</t>
  </si>
  <si>
    <t>Accounts receivable days</t>
  </si>
  <si>
    <t>Inventory days</t>
  </si>
  <si>
    <t>Accounts payable</t>
  </si>
  <si>
    <t>CASH FLOW FROM OPERATIONS</t>
  </si>
  <si>
    <t>Short-term revolver debt</t>
  </si>
  <si>
    <t>Date</t>
  </si>
  <si>
    <t>Cash out</t>
  </si>
  <si>
    <t>DCF SENSITIVITY TABLE</t>
  </si>
  <si>
    <t>Analysis</t>
  </si>
  <si>
    <t>AR days</t>
  </si>
  <si>
    <t>AP days</t>
  </si>
  <si>
    <t>Trade Financing haircut</t>
  </si>
  <si>
    <t>CIF/DES trading margin</t>
  </si>
  <si>
    <t>Investment</t>
  </si>
  <si>
    <t>TRADING CO LTD</t>
  </si>
  <si>
    <t xml:space="preserve">Income statement </t>
  </si>
  <si>
    <t>No of cargoes pa Sold CIF/DES Year 0</t>
  </si>
  <si>
    <t>No of cargoes pa marketed Year 0</t>
  </si>
  <si>
    <t>COGS</t>
  </si>
  <si>
    <t>$</t>
  </si>
  <si>
    <t>Interest on short-term revolver</t>
  </si>
  <si>
    <t>BALANCE</t>
  </si>
  <si>
    <t>REVOLVER</t>
  </si>
  <si>
    <t>Proceeds / (repayments)  from corporate  revolver</t>
  </si>
  <si>
    <t>Revolver max size needed</t>
  </si>
  <si>
    <t>ANALYSIS</t>
  </si>
  <si>
    <t xml:space="preserve">   Sales</t>
  </si>
  <si>
    <t xml:space="preserve">   EBITDA</t>
  </si>
  <si>
    <t xml:space="preserve">   Cash from Operations</t>
  </si>
  <si>
    <t xml:space="preserve">   Cash from Operations (before changes in W/C)</t>
  </si>
  <si>
    <t xml:space="preserve">   Net Income</t>
  </si>
  <si>
    <t>PROFITABILITY</t>
  </si>
  <si>
    <t xml:space="preserve">   EBIT margin</t>
  </si>
  <si>
    <t xml:space="preserve">   EBITDA margin</t>
  </si>
  <si>
    <t xml:space="preserve">   Net income margin</t>
  </si>
  <si>
    <t>CREDIT</t>
  </si>
  <si>
    <t xml:space="preserve">   Total debt</t>
  </si>
  <si>
    <t xml:space="preserve">   Net debt</t>
  </si>
  <si>
    <t xml:space="preserve">   Equity</t>
  </si>
  <si>
    <t xml:space="preserve">   Net Debt / Equity</t>
  </si>
  <si>
    <t xml:space="preserve">   Net debt / EBITDA</t>
  </si>
  <si>
    <t xml:space="preserve">   EBITDA / Net interest expense</t>
  </si>
  <si>
    <t xml:space="preserve">   Dividend payout ratio</t>
  </si>
  <si>
    <t>ASSET TURNOVER</t>
  </si>
  <si>
    <t>RETURNS</t>
  </si>
  <si>
    <t xml:space="preserve">   OWC to sales</t>
  </si>
  <si>
    <t xml:space="preserve">   Invested capital</t>
  </si>
  <si>
    <t xml:space="preserve">   Invested capital to sales</t>
  </si>
  <si>
    <t xml:space="preserve">   Net Operating profit after Tax (NOPAT)</t>
  </si>
  <si>
    <t xml:space="preserve">   Return on invested capital</t>
  </si>
  <si>
    <t xml:space="preserve">   Return on equity</t>
  </si>
  <si>
    <t>Net W/C excl cash</t>
  </si>
  <si>
    <t>First year of operations</t>
  </si>
  <si>
    <t>All-in trade finance cost p.a.</t>
  </si>
  <si>
    <t>EV</t>
  </si>
  <si>
    <t>No of cargoes pa Sold</t>
  </si>
  <si>
    <t>No of cargoes pa Marketed</t>
  </si>
  <si>
    <t>Incorporation &amp; Equity</t>
  </si>
  <si>
    <t>Dividends</t>
  </si>
  <si>
    <t>External equity holder %</t>
  </si>
  <si>
    <t>Statutory capital and Class "A" shares</t>
  </si>
  <si>
    <t>Preferred shares dividend</t>
  </si>
  <si>
    <t>Common stock dividends for the year</t>
  </si>
  <si>
    <t>Preferred dividends for the year</t>
  </si>
  <si>
    <t>Total CF</t>
  </si>
  <si>
    <t>Employees</t>
  </si>
  <si>
    <t>Directors</t>
  </si>
  <si>
    <t>Gasoline 10ppm</t>
  </si>
  <si>
    <t>Sale Terminal Year EBITDA x</t>
  </si>
  <si>
    <t>Preferred dividend (pre-tax)</t>
  </si>
  <si>
    <t>Common dividend (pre-tax)</t>
  </si>
  <si>
    <t>Sale</t>
  </si>
  <si>
    <t>IRR</t>
  </si>
  <si>
    <t>Class "B" Preferred shares (1000 shares at $7,200 each)</t>
  </si>
  <si>
    <t>IRR Plan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</si>
</sst>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0\x_);_(* \(#,##0.00\x\);_(* &quot;-&quot;??_);_(@_)"/>
    <numFmt numFmtId="166" formatCode="0.00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43" fontId="0" fillId="0" borderId="0" xfId="1" applyFont="1"/>
    <xf numFmtId="43" fontId="3" fillId="0" borderId="0" xfId="1" applyFont="1" applyAlignment="1">
      <alignment horizontal="center" vertical="center"/>
    </xf>
    <xf numFmtId="43" fontId="1" fillId="0" borderId="0" xfId="1" applyFont="1" applyFill="1" applyAlignment="1">
      <alignment vertical="center"/>
    </xf>
    <xf numFmtId="43" fontId="2" fillId="0" borderId="0" xfId="1" applyFont="1"/>
    <xf numFmtId="43" fontId="2" fillId="2" borderId="0" xfId="1" applyFont="1" applyFill="1" applyAlignment="1">
      <alignment horizontal="center" vertical="center"/>
    </xf>
    <xf numFmtId="43" fontId="0" fillId="0" borderId="0" xfId="1" applyFont="1" applyBorder="1"/>
    <xf numFmtId="43" fontId="0" fillId="0" borderId="0" xfId="1" applyFont="1" applyBorder="1" applyAlignment="1">
      <alignment horizontal="center" vertical="center"/>
    </xf>
    <xf numFmtId="43" fontId="2" fillId="0" borderId="0" xfId="1" applyFont="1" applyBorder="1"/>
    <xf numFmtId="43" fontId="4" fillId="0" borderId="0" xfId="1" applyFont="1" applyBorder="1"/>
    <xf numFmtId="43" fontId="3" fillId="3" borderId="0" xfId="1" applyFont="1" applyFill="1"/>
    <xf numFmtId="10" fontId="3" fillId="3" borderId="0" xfId="1" applyNumberFormat="1" applyFont="1" applyFill="1"/>
    <xf numFmtId="10" fontId="3" fillId="3" borderId="0" xfId="2" applyNumberFormat="1" applyFont="1" applyFill="1"/>
    <xf numFmtId="9" fontId="3" fillId="3" borderId="0" xfId="1" applyNumberFormat="1" applyFont="1" applyFill="1"/>
    <xf numFmtId="43" fontId="2" fillId="0" borderId="5" xfId="1" applyFont="1" applyBorder="1"/>
    <xf numFmtId="43" fontId="0" fillId="0" borderId="5" xfId="1" applyFont="1" applyBorder="1"/>
    <xf numFmtId="43" fontId="5" fillId="0" borderId="5" xfId="1" applyFont="1" applyBorder="1"/>
    <xf numFmtId="43" fontId="0" fillId="0" borderId="0" xfId="0" applyNumberFormat="1"/>
    <xf numFmtId="43" fontId="2" fillId="0" borderId="0" xfId="1" applyFont="1" applyBorder="1" applyAlignment="1">
      <alignment horizontal="center" vertical="center"/>
    </xf>
    <xf numFmtId="43" fontId="0" fillId="0" borderId="1" xfId="1" applyFont="1" applyBorder="1"/>
    <xf numFmtId="43" fontId="0" fillId="0" borderId="6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1" fillId="2" borderId="0" xfId="1" applyFont="1" applyFill="1" applyAlignment="1">
      <alignment horizontal="left" vertical="center"/>
    </xf>
    <xf numFmtId="14" fontId="0" fillId="0" borderId="0" xfId="1" applyNumberFormat="1" applyFont="1"/>
    <xf numFmtId="43" fontId="0" fillId="0" borderId="7" xfId="1" applyFont="1" applyBorder="1"/>
    <xf numFmtId="43" fontId="0" fillId="0" borderId="8" xfId="1" applyFont="1" applyBorder="1"/>
    <xf numFmtId="43" fontId="2" fillId="2" borderId="0" xfId="1" applyFont="1" applyFill="1"/>
    <xf numFmtId="43" fontId="2" fillId="2" borderId="0" xfId="1" applyFont="1" applyFill="1" applyAlignment="1">
      <alignment horizontal="right"/>
    </xf>
    <xf numFmtId="10" fontId="0" fillId="0" borderId="0" xfId="2" applyNumberFormat="1" applyFont="1"/>
    <xf numFmtId="10" fontId="0" fillId="0" borderId="0" xfId="1" applyNumberFormat="1" applyFont="1"/>
    <xf numFmtId="164" fontId="3" fillId="3" borderId="0" xfId="1" applyNumberFormat="1" applyFont="1" applyFill="1"/>
    <xf numFmtId="14" fontId="3" fillId="3" borderId="0" xfId="1" applyNumberFormat="1" applyFont="1" applyFill="1"/>
    <xf numFmtId="43" fontId="4" fillId="0" borderId="0" xfId="1" applyFont="1"/>
    <xf numFmtId="43" fontId="0" fillId="2" borderId="0" xfId="1" applyFont="1" applyFill="1"/>
    <xf numFmtId="43" fontId="1" fillId="2" borderId="0" xfId="1" applyFont="1" applyFill="1"/>
    <xf numFmtId="43" fontId="2" fillId="2" borderId="0" xfId="1" applyFont="1" applyFill="1" applyAlignment="1">
      <alignment vertical="center"/>
    </xf>
    <xf numFmtId="43" fontId="2" fillId="2" borderId="0" xfId="1" applyFont="1" applyFill="1" applyAlignment="1">
      <alignment vertical="center" wrapText="1"/>
    </xf>
    <xf numFmtId="165" fontId="3" fillId="3" borderId="0" xfId="1" applyNumberFormat="1" applyFont="1" applyFill="1"/>
    <xf numFmtId="43" fontId="8" fillId="0" borderId="0" xfId="1" applyFont="1"/>
    <xf numFmtId="43" fontId="2" fillId="2" borderId="0" xfId="1" applyFont="1" applyFill="1" applyAlignment="1">
      <alignment horizontal="center" vertical="center"/>
    </xf>
    <xf numFmtId="43" fontId="1" fillId="0" borderId="0" xfId="1" applyFont="1"/>
    <xf numFmtId="0" fontId="0" fillId="0" borderId="0" xfId="1" applyNumberFormat="1" applyFont="1"/>
    <xf numFmtId="0" fontId="8" fillId="0" borderId="0" xfId="1" applyNumberFormat="1" applyFont="1"/>
    <xf numFmtId="43" fontId="9" fillId="0" borderId="0" xfId="1" applyFont="1"/>
    <xf numFmtId="43" fontId="2" fillId="0" borderId="0" xfId="1" applyFont="1" applyAlignment="1">
      <alignment horizontal="center" vertical="center"/>
    </xf>
    <xf numFmtId="43" fontId="0" fillId="0" borderId="0" xfId="1" applyFont="1" applyFill="1"/>
    <xf numFmtId="164" fontId="0" fillId="0" borderId="0" xfId="2" applyNumberFormat="1" applyFont="1"/>
    <xf numFmtId="165" fontId="0" fillId="0" borderId="0" xfId="1" applyNumberFormat="1" applyFont="1"/>
    <xf numFmtId="164" fontId="1" fillId="2" borderId="0" xfId="1" applyNumberFormat="1" applyFont="1" applyFill="1"/>
    <xf numFmtId="164" fontId="2" fillId="2" borderId="0" xfId="1" applyNumberFormat="1" applyFont="1" applyFill="1"/>
    <xf numFmtId="43" fontId="4" fillId="0" borderId="0" xfId="1" applyFont="1" applyFill="1" applyAlignment="1">
      <alignment horizontal="center" vertical="center"/>
    </xf>
    <xf numFmtId="43" fontId="1" fillId="4" borderId="0" xfId="1" applyFont="1" applyFill="1"/>
    <xf numFmtId="164" fontId="1" fillId="4" borderId="0" xfId="1" applyNumberFormat="1" applyFont="1" applyFill="1"/>
    <xf numFmtId="43" fontId="0" fillId="0" borderId="0" xfId="2" applyNumberFormat="1" applyFont="1"/>
    <xf numFmtId="166" fontId="0" fillId="0" borderId="0" xfId="2" applyNumberFormat="1" applyFont="1"/>
    <xf numFmtId="43" fontId="7" fillId="2" borderId="0" xfId="1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EFFC-19AC-3F4A-9E29-82C41DE6BBFD}">
  <dimension ref="A1:R220"/>
  <sheetViews>
    <sheetView tabSelected="1" zoomScale="83" zoomScaleNormal="83" workbookViewId="0">
      <selection activeCell="B150" sqref="B150:F153"/>
    </sheetView>
  </sheetViews>
  <sheetFormatPr baseColWidth="10" defaultRowHeight="16" x14ac:dyDescent="0.2"/>
  <cols>
    <col min="1" max="1" width="4.1640625" customWidth="1"/>
    <col min="2" max="2" width="10.83203125" style="1"/>
    <col min="3" max="3" width="30" style="1" bestFit="1" customWidth="1"/>
    <col min="4" max="4" width="15.83203125" style="1" customWidth="1"/>
    <col min="5" max="5" width="2" style="1" customWidth="1"/>
    <col min="6" max="6" width="15.83203125" style="1" customWidth="1"/>
    <col min="7" max="7" width="2" style="1" customWidth="1"/>
    <col min="8" max="8" width="7.33203125" customWidth="1"/>
    <col min="9" max="9" width="3.1640625" style="1" customWidth="1"/>
    <col min="10" max="10" width="49.33203125" style="1" bestFit="1" customWidth="1"/>
    <col min="11" max="11" width="16" style="1" bestFit="1" customWidth="1"/>
    <col min="12" max="16" width="18.6640625" style="1" customWidth="1"/>
    <col min="17" max="17" width="3.1640625" style="1" customWidth="1"/>
    <col min="18" max="18" width="14" style="1" bestFit="1" customWidth="1"/>
    <col min="19" max="16384" width="10.83203125" style="1"/>
  </cols>
  <sheetData>
    <row r="1" spans="2:17" x14ac:dyDescent="0.2">
      <c r="J1" s="1" t="s">
        <v>163</v>
      </c>
      <c r="K1" s="1">
        <v>1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2:17" x14ac:dyDescent="0.2">
      <c r="J2" s="1" t="s">
        <v>164</v>
      </c>
      <c r="K2" s="1">
        <f>+K16*0.3</f>
        <v>-45000</v>
      </c>
      <c r="L2" s="1">
        <f>+L16*0.2</f>
        <v>-30300</v>
      </c>
      <c r="M2" s="1">
        <f t="shared" ref="M2:P2" si="0">+M16*0.2</f>
        <v>-36723.599999999999</v>
      </c>
      <c r="N2" s="1">
        <f t="shared" si="0"/>
        <v>-37090.836000000003</v>
      </c>
      <c r="O2" s="1">
        <f t="shared" si="0"/>
        <v>-37461.744360000004</v>
      </c>
      <c r="P2" s="1">
        <f t="shared" si="0"/>
        <v>-37836.361803600004</v>
      </c>
    </row>
    <row r="3" spans="2:17" x14ac:dyDescent="0.2">
      <c r="J3" s="48" t="s">
        <v>163</v>
      </c>
      <c r="K3" s="1">
        <f>(-K2+K16)/K1</f>
        <v>-105000</v>
      </c>
      <c r="L3" s="1">
        <f>(-L2+L16)/L1</f>
        <v>-60600</v>
      </c>
      <c r="M3" s="1">
        <f t="shared" ref="M3:P3" si="1">(-M2+M16)/M1</f>
        <v>-73447.199999999997</v>
      </c>
      <c r="N3" s="1">
        <f t="shared" si="1"/>
        <v>-74181.671999999991</v>
      </c>
      <c r="O3" s="1">
        <f t="shared" si="1"/>
        <v>-74923.488719999994</v>
      </c>
      <c r="P3" s="1">
        <f t="shared" si="1"/>
        <v>-75672.723607199994</v>
      </c>
    </row>
    <row r="4" spans="2:17" x14ac:dyDescent="0.2">
      <c r="B4" s="58" t="s">
        <v>26</v>
      </c>
      <c r="C4" s="58" t="s">
        <v>3</v>
      </c>
      <c r="D4" s="58" t="s">
        <v>94</v>
      </c>
      <c r="E4" s="37"/>
      <c r="F4" s="58" t="s">
        <v>95</v>
      </c>
      <c r="G4" s="38"/>
      <c r="I4" s="57" t="s">
        <v>112</v>
      </c>
      <c r="J4" s="57"/>
      <c r="K4" s="57"/>
      <c r="L4" s="57"/>
      <c r="M4" s="57"/>
      <c r="N4" s="57"/>
      <c r="O4" s="57"/>
      <c r="P4" s="57"/>
      <c r="Q4"/>
    </row>
    <row r="5" spans="2:17" x14ac:dyDescent="0.2">
      <c r="B5" s="58"/>
      <c r="C5" s="58"/>
      <c r="D5" s="58"/>
      <c r="E5" s="37"/>
      <c r="F5" s="58"/>
      <c r="G5" s="38"/>
      <c r="I5" s="57"/>
      <c r="J5" s="57"/>
      <c r="K5" s="57"/>
      <c r="L5" s="57"/>
      <c r="M5" s="57"/>
      <c r="N5" s="57"/>
      <c r="O5" s="57"/>
      <c r="P5" s="57"/>
      <c r="Q5"/>
    </row>
    <row r="6" spans="2:17" x14ac:dyDescent="0.2">
      <c r="B6" s="58"/>
      <c r="C6" s="58"/>
      <c r="D6" s="58"/>
      <c r="E6" s="37"/>
      <c r="F6" s="58"/>
      <c r="G6" s="38"/>
      <c r="I6" s="57"/>
      <c r="J6" s="57"/>
      <c r="K6" s="57"/>
      <c r="L6" s="57"/>
      <c r="M6" s="57"/>
      <c r="N6" s="57"/>
      <c r="O6" s="57"/>
      <c r="P6" s="57"/>
      <c r="Q6"/>
    </row>
    <row r="7" spans="2:17" x14ac:dyDescent="0.2">
      <c r="C7" s="1" t="s">
        <v>1</v>
      </c>
      <c r="D7" s="2" t="s">
        <v>165</v>
      </c>
      <c r="J7" s="1" t="s">
        <v>153</v>
      </c>
      <c r="L7" s="10">
        <v>5</v>
      </c>
      <c r="M7" s="10">
        <v>6</v>
      </c>
      <c r="N7" s="10">
        <v>6</v>
      </c>
      <c r="O7" s="10">
        <v>6</v>
      </c>
      <c r="P7" s="10">
        <v>6</v>
      </c>
    </row>
    <row r="8" spans="2:17" x14ac:dyDescent="0.2">
      <c r="B8" s="1" t="s">
        <v>8</v>
      </c>
      <c r="C8" s="1" t="s">
        <v>10</v>
      </c>
      <c r="D8" s="10">
        <v>401</v>
      </c>
      <c r="F8" s="1">
        <f>+D8*D12</f>
        <v>12030000</v>
      </c>
      <c r="J8" s="1" t="s">
        <v>154</v>
      </c>
      <c r="L8" s="10">
        <v>2</v>
      </c>
      <c r="M8" s="10">
        <v>2</v>
      </c>
      <c r="N8" s="10">
        <v>2</v>
      </c>
      <c r="O8" s="10">
        <v>2</v>
      </c>
      <c r="P8" s="10">
        <v>2</v>
      </c>
    </row>
    <row r="9" spans="2:17" x14ac:dyDescent="0.2">
      <c r="B9" s="1" t="s">
        <v>8</v>
      </c>
      <c r="C9" s="1" t="s">
        <v>11</v>
      </c>
      <c r="D9" s="10">
        <v>-56</v>
      </c>
      <c r="F9" s="1">
        <f>+D9*$D$12</f>
        <v>-1680000</v>
      </c>
      <c r="J9" s="44" t="s">
        <v>81</v>
      </c>
      <c r="L9" s="44">
        <v>1</v>
      </c>
      <c r="M9" s="44">
        <v>2</v>
      </c>
      <c r="N9" s="44">
        <v>3</v>
      </c>
      <c r="O9" s="44">
        <v>4</v>
      </c>
      <c r="P9" s="44">
        <v>5</v>
      </c>
    </row>
    <row r="10" spans="2:17" ht="16" customHeight="1" x14ac:dyDescent="0.2">
      <c r="B10" s="16" t="s">
        <v>8</v>
      </c>
      <c r="C10" s="16" t="s">
        <v>4</v>
      </c>
      <c r="D10" s="14">
        <f>+D8+D9</f>
        <v>345</v>
      </c>
      <c r="E10" s="15"/>
      <c r="F10" s="15">
        <f>+D10*$D$12</f>
        <v>10350000</v>
      </c>
      <c r="I10" s="4" t="s">
        <v>37</v>
      </c>
      <c r="Q10"/>
    </row>
    <row r="11" spans="2:17" x14ac:dyDescent="0.2">
      <c r="B11" s="1" t="s">
        <v>8</v>
      </c>
      <c r="C11" s="1" t="s">
        <v>2</v>
      </c>
      <c r="D11" s="10">
        <v>8</v>
      </c>
      <c r="F11" s="1">
        <f>+D11*D12*-1</f>
        <v>-240000</v>
      </c>
      <c r="I11" s="6"/>
      <c r="J11" s="7"/>
      <c r="K11" s="18" t="s">
        <v>39</v>
      </c>
      <c r="L11" s="18" t="s">
        <v>31</v>
      </c>
      <c r="M11" s="18" t="s">
        <v>32</v>
      </c>
      <c r="N11" s="18" t="s">
        <v>33</v>
      </c>
      <c r="O11" s="18" t="s">
        <v>34</v>
      </c>
      <c r="P11" s="18" t="s">
        <v>35</v>
      </c>
      <c r="Q11"/>
    </row>
    <row r="12" spans="2:17" ht="16" customHeight="1" x14ac:dyDescent="0.2">
      <c r="B12" s="1" t="s">
        <v>0</v>
      </c>
      <c r="C12" s="1" t="s">
        <v>9</v>
      </c>
      <c r="D12" s="10">
        <v>30000</v>
      </c>
      <c r="I12" s="6"/>
      <c r="J12" s="6" t="s">
        <v>15</v>
      </c>
      <c r="K12" s="6">
        <f>+F19*D28</f>
        <v>54000763.350000001</v>
      </c>
      <c r="L12" s="6">
        <f>$F$19*L7*(1+$D$33)^L9</f>
        <v>54540770.983500004</v>
      </c>
      <c r="M12" s="6">
        <f>$F$19*M7*(1+$D$33)^M9</f>
        <v>66103414.432001993</v>
      </c>
      <c r="N12" s="6">
        <f>$F$19*N7*(1+$D$33)^N9</f>
        <v>66764448.576322012</v>
      </c>
      <c r="O12" s="6">
        <f>$F$19*O7*(1+$D$33)^O9</f>
        <v>67432093.062085241</v>
      </c>
      <c r="P12" s="6">
        <f>$F$19*P7*(1+$D$33)^P9</f>
        <v>68106413.99270609</v>
      </c>
      <c r="Q12"/>
    </row>
    <row r="13" spans="2:17" ht="16" customHeight="1" x14ac:dyDescent="0.2">
      <c r="B13" s="16" t="s">
        <v>8</v>
      </c>
      <c r="C13" s="16" t="s">
        <v>25</v>
      </c>
      <c r="D13" s="16">
        <f>+D10+D11</f>
        <v>353</v>
      </c>
      <c r="E13" s="15"/>
      <c r="F13" s="15">
        <f>+D13*D12</f>
        <v>10590000</v>
      </c>
      <c r="I13" s="6"/>
      <c r="J13" s="6" t="s">
        <v>21</v>
      </c>
      <c r="K13" s="6">
        <f>+D23*D24*D29*D12</f>
        <v>900000</v>
      </c>
      <c r="L13" s="6">
        <f>+$D$23*$D$24*L8*$D$12*(1+$D$33)^L9</f>
        <v>909000</v>
      </c>
      <c r="M13" s="6">
        <f>+$D$23*$D$24*M8*$D$12*(1+$D$33)^M9</f>
        <v>918090</v>
      </c>
      <c r="N13" s="6">
        <f>+$D$23*$D$24*N8*$D$12*(1+$D$33)^N9</f>
        <v>927270.89999999991</v>
      </c>
      <c r="O13" s="6">
        <f>+$D$23*$D$24*O8*$D$12*(1+$D$33)^O9</f>
        <v>936543.60900000005</v>
      </c>
      <c r="P13" s="6">
        <f>+$D$23*$D$24*P8*$D$12*(1+$D$33)^P9</f>
        <v>945909.04508999991</v>
      </c>
      <c r="Q13"/>
    </row>
    <row r="14" spans="2:17" x14ac:dyDescent="0.2">
      <c r="B14" s="1" t="s">
        <v>5</v>
      </c>
      <c r="C14" s="1" t="s">
        <v>7</v>
      </c>
      <c r="D14" s="11">
        <v>2E-3</v>
      </c>
      <c r="F14" s="1">
        <f>+D14*D13*D12</f>
        <v>21180</v>
      </c>
      <c r="I14" s="6"/>
      <c r="J14" s="6" t="s">
        <v>16</v>
      </c>
      <c r="K14" s="6">
        <f>+D31</f>
        <v>-52950000</v>
      </c>
      <c r="L14" s="6">
        <f>$F$31*L7*(1+$D$33)^L9</f>
        <v>-53479500</v>
      </c>
      <c r="M14" s="6">
        <f t="shared" ref="M14:P14" si="2">$F$31*M7*(1+$D$33)^M9</f>
        <v>-64817154</v>
      </c>
      <c r="N14" s="6">
        <f t="shared" si="2"/>
        <v>-65465325.539999992</v>
      </c>
      <c r="O14" s="6">
        <f t="shared" si="2"/>
        <v>-66119978.795400001</v>
      </c>
      <c r="P14" s="6">
        <f t="shared" si="2"/>
        <v>-66781178.583353996</v>
      </c>
    </row>
    <row r="15" spans="2:17" x14ac:dyDescent="0.2">
      <c r="B15" s="16" t="s">
        <v>8</v>
      </c>
      <c r="C15" s="16" t="s">
        <v>6</v>
      </c>
      <c r="D15" s="16">
        <f>+D13+D14*D13*D12/D12</f>
        <v>353.70600000000002</v>
      </c>
      <c r="E15" s="15"/>
      <c r="F15" s="15">
        <f>+D15*D12</f>
        <v>10611180</v>
      </c>
      <c r="I15" s="6"/>
      <c r="J15" s="9" t="s">
        <v>17</v>
      </c>
      <c r="K15" s="6">
        <f>+K12+K13+K14</f>
        <v>1950763.3500000015</v>
      </c>
      <c r="L15" s="6">
        <f>+L12+L13+L14</f>
        <v>1970270.9835000038</v>
      </c>
      <c r="M15" s="6">
        <f t="shared" ref="M15:P15" si="3">+M12+M13+M14</f>
        <v>2204350.4320019931</v>
      </c>
      <c r="N15" s="6">
        <f t="shared" si="3"/>
        <v>2226393.9363220185</v>
      </c>
      <c r="O15" s="6">
        <f t="shared" si="3"/>
        <v>2248657.8756852373</v>
      </c>
      <c r="P15" s="6">
        <f t="shared" si="3"/>
        <v>2271144.4544420987</v>
      </c>
    </row>
    <row r="16" spans="2:17" x14ac:dyDescent="0.2">
      <c r="B16" s="1" t="s">
        <v>5</v>
      </c>
      <c r="C16" s="1" t="s">
        <v>151</v>
      </c>
      <c r="D16" s="12">
        <v>0.04</v>
      </c>
      <c r="F16" s="1">
        <f>+F18</f>
        <v>68972.670000000013</v>
      </c>
      <c r="I16" s="6"/>
      <c r="J16" s="6" t="s">
        <v>18</v>
      </c>
      <c r="K16" s="6">
        <f>-1*F22*D28</f>
        <v>-150000</v>
      </c>
      <c r="L16" s="6">
        <f>-$F$22*L7*(1+$D$33)^L9</f>
        <v>-151500</v>
      </c>
      <c r="M16" s="6">
        <f>-$F$22*M7*(1+$D$33)^M9</f>
        <v>-183618</v>
      </c>
      <c r="N16" s="6">
        <f>-$F$22*N7*(1+$D$33)^N9</f>
        <v>-185454.18</v>
      </c>
      <c r="O16" s="6">
        <f>-$F$22*O7*(1+$D$33)^O9</f>
        <v>-187308.7218</v>
      </c>
      <c r="P16" s="6">
        <f>-$F$22*P7*(1+$D$33)^P9</f>
        <v>-189181.809018</v>
      </c>
    </row>
    <row r="17" spans="2:16" x14ac:dyDescent="0.2">
      <c r="B17" s="1" t="s">
        <v>8</v>
      </c>
      <c r="C17" s="1" t="s">
        <v>110</v>
      </c>
      <c r="D17" s="10">
        <v>4</v>
      </c>
      <c r="F17" s="1">
        <f>+D17*D12</f>
        <v>120000</v>
      </c>
      <c r="I17" s="6"/>
      <c r="J17" s="6" t="s">
        <v>7</v>
      </c>
      <c r="K17" s="6">
        <f>+F14*D28*-1</f>
        <v>-105900</v>
      </c>
      <c r="L17" s="6">
        <f>-$F$14*L7*(1+$D$33)^L9</f>
        <v>-106959</v>
      </c>
      <c r="M17" s="6">
        <f>-$F$14*M7*(1+$D$33)^M9</f>
        <v>-129634.308</v>
      </c>
      <c r="N17" s="6">
        <f>-$F$14*N7*(1+$D$33)^N9</f>
        <v>-130930.65108</v>
      </c>
      <c r="O17" s="6">
        <f>-$F$14*O7*(1+$D$33)^O9</f>
        <v>-132239.95759080001</v>
      </c>
      <c r="P17" s="6">
        <f>-$F$14*P7*(1+$D$33)^P9</f>
        <v>-133562.35716670798</v>
      </c>
    </row>
    <row r="18" spans="2:16" x14ac:dyDescent="0.2">
      <c r="B18" s="34" t="s">
        <v>8</v>
      </c>
      <c r="C18" s="34" t="s">
        <v>28</v>
      </c>
      <c r="D18" s="34">
        <f>+D15*D16*(D21/360)*(1-D27)</f>
        <v>2.2990890000000004</v>
      </c>
      <c r="F18" s="1">
        <f>+D18*D12</f>
        <v>68972.670000000013</v>
      </c>
      <c r="H18" s="17"/>
      <c r="I18" s="6"/>
      <c r="J18" s="1" t="s">
        <v>48</v>
      </c>
      <c r="K18" s="1">
        <f>+K55</f>
        <v>-12000</v>
      </c>
      <c r="L18" s="1">
        <f>+K18</f>
        <v>-12000</v>
      </c>
      <c r="M18" s="1">
        <f t="shared" ref="M18:O18" si="4">+L18</f>
        <v>-12000</v>
      </c>
      <c r="N18" s="1">
        <f t="shared" si="4"/>
        <v>-12000</v>
      </c>
      <c r="O18" s="1">
        <f t="shared" si="4"/>
        <v>-12000</v>
      </c>
      <c r="P18" s="1">
        <v>0</v>
      </c>
    </row>
    <row r="19" spans="2:16" x14ac:dyDescent="0.2">
      <c r="B19" s="16" t="s">
        <v>8</v>
      </c>
      <c r="C19" s="16" t="s">
        <v>29</v>
      </c>
      <c r="D19" s="16">
        <f>+D15+D17+D18</f>
        <v>360.005089</v>
      </c>
      <c r="E19" s="15"/>
      <c r="F19" s="15">
        <f>+D19*D12</f>
        <v>10800152.67</v>
      </c>
      <c r="H19" s="1"/>
      <c r="I19" s="6"/>
      <c r="J19" s="6" t="s">
        <v>19</v>
      </c>
      <c r="K19" s="6">
        <f>+$D$30+IF(K62&gt;0,K62*$D$59,0)*-1</f>
        <v>-310377.01500000007</v>
      </c>
      <c r="L19" s="6">
        <f>$F$30*L7*(1+$D$33)^L9+IF(L62&gt;0,L62*$D$59,0)*-1</f>
        <v>-313480.78515000007</v>
      </c>
      <c r="M19" s="6">
        <f>$F$30*M7*(1+$D$33)^M9+IF(M62&gt;0,M62*$D$59,0)*-1</f>
        <v>-379938.71160180005</v>
      </c>
      <c r="N19" s="6">
        <f>$F$30*N7*(1+$D$33)^N9+IF(N62&gt;0,N62*$D$59,0)*-1</f>
        <v>-383738.09871781804</v>
      </c>
      <c r="O19" s="6">
        <f>$F$30*O7*(1+$D$33)^O9+IF(O62&gt;0,O62*$D$59,0)*-1</f>
        <v>-387575.47970499628</v>
      </c>
      <c r="P19" s="6">
        <f>$F$30*P7*(1+$D$33)^P9+IF(P62&gt;0,P62*$D$59,0)*-1</f>
        <v>-391451.23450204619</v>
      </c>
    </row>
    <row r="20" spans="2:16" x14ac:dyDescent="0.2">
      <c r="I20" s="6"/>
      <c r="J20" s="6" t="s">
        <v>22</v>
      </c>
      <c r="K20" s="6">
        <f t="shared" ref="K20:P20" si="5">+SUM(K15:K19)*$D$25*-1</f>
        <v>-164698.36020000017</v>
      </c>
      <c r="L20" s="6">
        <f t="shared" si="5"/>
        <v>-166359.74380200045</v>
      </c>
      <c r="M20" s="6">
        <f t="shared" si="5"/>
        <v>-179899.12948802317</v>
      </c>
      <c r="N20" s="6">
        <f t="shared" si="5"/>
        <v>-181712.52078290406</v>
      </c>
      <c r="O20" s="6">
        <f t="shared" si="5"/>
        <v>-183544.04599073291</v>
      </c>
      <c r="P20" s="6">
        <f t="shared" si="5"/>
        <v>-186833.88645064135</v>
      </c>
    </row>
    <row r="21" spans="2:16" x14ac:dyDescent="0.2">
      <c r="B21" s="1" t="s">
        <v>27</v>
      </c>
      <c r="C21" s="1" t="s">
        <v>30</v>
      </c>
      <c r="D21" s="10">
        <v>65</v>
      </c>
      <c r="J21" s="8" t="s">
        <v>20</v>
      </c>
      <c r="K21" s="8">
        <f t="shared" ref="K21:P21" si="6">+SUM(K15:K20)</f>
        <v>1207787.9748000011</v>
      </c>
      <c r="L21" s="8">
        <f t="shared" si="6"/>
        <v>1219971.4545480032</v>
      </c>
      <c r="M21" s="8">
        <f t="shared" si="6"/>
        <v>1319260.2829121698</v>
      </c>
      <c r="N21" s="8">
        <f t="shared" si="6"/>
        <v>1332558.4857412966</v>
      </c>
      <c r="O21" s="8">
        <f t="shared" si="6"/>
        <v>1345989.6705987081</v>
      </c>
      <c r="P21" s="8">
        <f t="shared" si="6"/>
        <v>1370115.1673047033</v>
      </c>
    </row>
    <row r="22" spans="2:16" x14ac:dyDescent="0.2">
      <c r="B22" s="1" t="s">
        <v>8</v>
      </c>
      <c r="C22" s="1" t="s">
        <v>18</v>
      </c>
      <c r="D22" s="10">
        <v>1</v>
      </c>
      <c r="F22" s="1">
        <f>+D22*D12</f>
        <v>30000</v>
      </c>
      <c r="K22" s="55"/>
      <c r="L22" s="30"/>
    </row>
    <row r="23" spans="2:16" x14ac:dyDescent="0.2">
      <c r="B23" s="1" t="s">
        <v>8</v>
      </c>
      <c r="C23" s="1" t="s">
        <v>14</v>
      </c>
      <c r="D23" s="10">
        <v>30</v>
      </c>
      <c r="F23" s="1">
        <f>+D23*D12</f>
        <v>900000</v>
      </c>
      <c r="I23" s="4" t="s">
        <v>38</v>
      </c>
      <c r="K23" s="56"/>
      <c r="L23" s="30"/>
    </row>
    <row r="24" spans="2:16" x14ac:dyDescent="0.2">
      <c r="B24" s="1" t="s">
        <v>5</v>
      </c>
      <c r="C24" s="1" t="s">
        <v>12</v>
      </c>
      <c r="D24" s="13">
        <v>0.5</v>
      </c>
      <c r="F24" s="1">
        <f>+F23*D24</f>
        <v>450000</v>
      </c>
      <c r="J24" s="1" t="str">
        <f>+J21</f>
        <v>Net Income</v>
      </c>
      <c r="K24" s="1">
        <f t="shared" ref="K24:O24" si="7">+K21</f>
        <v>1207787.9748000011</v>
      </c>
      <c r="L24" s="1">
        <f t="shared" si="7"/>
        <v>1219971.4545480032</v>
      </c>
      <c r="M24" s="1">
        <f t="shared" si="7"/>
        <v>1319260.2829121698</v>
      </c>
      <c r="N24" s="1">
        <f t="shared" si="7"/>
        <v>1332558.4857412966</v>
      </c>
      <c r="O24" s="1">
        <f t="shared" si="7"/>
        <v>1345989.6705987081</v>
      </c>
      <c r="P24" s="1">
        <f t="shared" ref="P24" si="8">+P21</f>
        <v>1370115.1673047033</v>
      </c>
    </row>
    <row r="25" spans="2:16" x14ac:dyDescent="0.2">
      <c r="B25" s="1" t="s">
        <v>5</v>
      </c>
      <c r="C25" s="1" t="s">
        <v>23</v>
      </c>
      <c r="D25" s="12">
        <v>0.12</v>
      </c>
      <c r="J25" s="1" t="s">
        <v>48</v>
      </c>
      <c r="K25" s="1">
        <f t="shared" ref="K25:P25" si="9">-K18</f>
        <v>12000</v>
      </c>
      <c r="L25" s="1">
        <f t="shared" si="9"/>
        <v>12000</v>
      </c>
      <c r="M25" s="1">
        <f t="shared" si="9"/>
        <v>12000</v>
      </c>
      <c r="N25" s="1">
        <f t="shared" si="9"/>
        <v>12000</v>
      </c>
      <c r="O25" s="1">
        <f t="shared" si="9"/>
        <v>12000</v>
      </c>
      <c r="P25" s="1">
        <f t="shared" si="9"/>
        <v>0</v>
      </c>
    </row>
    <row r="26" spans="2:16" x14ac:dyDescent="0.2">
      <c r="B26" s="1" t="s">
        <v>5</v>
      </c>
      <c r="C26" s="1" t="s">
        <v>24</v>
      </c>
      <c r="D26" s="12">
        <v>0.14000000000000001</v>
      </c>
      <c r="I26"/>
      <c r="J26" s="1" t="s">
        <v>58</v>
      </c>
      <c r="K26" s="1">
        <f>-K50</f>
        <v>-11250152.670000002</v>
      </c>
      <c r="L26" s="1">
        <f t="shared" ref="L26:P27" si="10">-L50+K50</f>
        <v>-112501.52669999935</v>
      </c>
      <c r="M26" s="1">
        <f t="shared" si="10"/>
        <v>-113626.54196699709</v>
      </c>
      <c r="N26" s="1">
        <f t="shared" si="10"/>
        <v>-114762.8073866684</v>
      </c>
      <c r="O26" s="1">
        <f t="shared" si="10"/>
        <v>-115910.43546053953</v>
      </c>
      <c r="P26" s="1">
        <f t="shared" si="10"/>
        <v>-117069.53981514275</v>
      </c>
    </row>
    <row r="27" spans="2:16" x14ac:dyDescent="0.2">
      <c r="B27" s="1" t="s">
        <v>5</v>
      </c>
      <c r="C27" s="1" t="s">
        <v>109</v>
      </c>
      <c r="D27" s="11">
        <v>0.1</v>
      </c>
      <c r="H27" s="17"/>
      <c r="I27"/>
      <c r="J27" s="1" t="s">
        <v>59</v>
      </c>
      <c r="K27" s="1">
        <f>-K51</f>
        <v>-10590000</v>
      </c>
      <c r="L27" s="1">
        <f t="shared" si="10"/>
        <v>-105900</v>
      </c>
      <c r="M27" s="1">
        <f t="shared" si="10"/>
        <v>-106959</v>
      </c>
      <c r="N27" s="1">
        <f t="shared" si="10"/>
        <v>-108028.58999999799</v>
      </c>
      <c r="O27" s="1">
        <f t="shared" si="10"/>
        <v>-109108.8759000022</v>
      </c>
      <c r="P27" s="1">
        <f t="shared" si="10"/>
        <v>-110199.96465899795</v>
      </c>
    </row>
    <row r="28" spans="2:16" x14ac:dyDescent="0.2">
      <c r="B28" s="1" t="s">
        <v>13</v>
      </c>
      <c r="C28" s="1" t="s">
        <v>114</v>
      </c>
      <c r="D28" s="10">
        <v>5</v>
      </c>
      <c r="H28" s="17"/>
      <c r="J28" s="1" t="s">
        <v>60</v>
      </c>
      <c r="K28" s="1">
        <f>+K60</f>
        <v>10590000</v>
      </c>
      <c r="L28" s="1">
        <f>+L60-K60</f>
        <v>105900</v>
      </c>
      <c r="M28" s="1">
        <f>+M60-L60</f>
        <v>106959</v>
      </c>
      <c r="N28" s="1">
        <f>+N60-M60</f>
        <v>108028.58999999799</v>
      </c>
      <c r="O28" s="1">
        <f>+O60-N60</f>
        <v>109108.8759000022</v>
      </c>
      <c r="P28" s="1">
        <f>+P60-O60</f>
        <v>110199.96465899795</v>
      </c>
    </row>
    <row r="29" spans="2:16" x14ac:dyDescent="0.2">
      <c r="B29" s="1" t="s">
        <v>13</v>
      </c>
      <c r="C29" s="1" t="s">
        <v>115</v>
      </c>
      <c r="D29" s="10">
        <v>2</v>
      </c>
    </row>
    <row r="30" spans="2:16" x14ac:dyDescent="0.2">
      <c r="B30" s="1" t="s">
        <v>117</v>
      </c>
      <c r="C30" s="45" t="s">
        <v>19</v>
      </c>
      <c r="D30" s="45">
        <f>+D18*D12*D28*(1-D27)*-1</f>
        <v>-310377.01500000007</v>
      </c>
      <c r="F30" s="45">
        <f>+D18*D12*(1-D27)*-1</f>
        <v>-62075.403000000013</v>
      </c>
      <c r="J30" s="1" t="s">
        <v>101</v>
      </c>
      <c r="K30" s="1">
        <f t="shared" ref="K30:P30" si="11">+SUM(K24:K28)</f>
        <v>-10030364.6952</v>
      </c>
      <c r="L30" s="1">
        <f t="shared" si="11"/>
        <v>1119469.9278480038</v>
      </c>
      <c r="M30" s="1">
        <f t="shared" si="11"/>
        <v>1217633.7409451727</v>
      </c>
      <c r="N30" s="1">
        <f t="shared" si="11"/>
        <v>1229795.6783546282</v>
      </c>
      <c r="O30" s="1">
        <f t="shared" si="11"/>
        <v>1242079.2351381686</v>
      </c>
      <c r="P30" s="1">
        <f t="shared" si="11"/>
        <v>1253045.6274895605</v>
      </c>
    </row>
    <row r="31" spans="2:16" x14ac:dyDescent="0.2">
      <c r="B31" s="1" t="s">
        <v>117</v>
      </c>
      <c r="C31" s="45" t="s">
        <v>116</v>
      </c>
      <c r="D31" s="40">
        <f>+F31*D28</f>
        <v>-52950000</v>
      </c>
      <c r="F31" s="45">
        <f>+D12*(D11+D10)*-1</f>
        <v>-10590000</v>
      </c>
      <c r="I31"/>
      <c r="J31"/>
      <c r="K31" s="17"/>
      <c r="L31" s="17"/>
    </row>
    <row r="32" spans="2:16" x14ac:dyDescent="0.2">
      <c r="B32" s="5" t="s">
        <v>26</v>
      </c>
      <c r="C32" s="5" t="s">
        <v>3</v>
      </c>
      <c r="D32" s="5" t="s">
        <v>94</v>
      </c>
      <c r="E32"/>
      <c r="F32" s="5" t="s">
        <v>41</v>
      </c>
      <c r="I32"/>
      <c r="J32" s="1" t="s">
        <v>61</v>
      </c>
      <c r="K32" s="1">
        <f>-D47</f>
        <v>-60000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2:18" x14ac:dyDescent="0.2">
      <c r="B33" s="1" t="s">
        <v>5</v>
      </c>
      <c r="C33" s="1" t="s">
        <v>36</v>
      </c>
      <c r="D33" s="11">
        <v>0.01</v>
      </c>
      <c r="I33"/>
      <c r="J33" s="1" t="s">
        <v>62</v>
      </c>
      <c r="K33" s="1">
        <f>+K32</f>
        <v>-60000</v>
      </c>
      <c r="L33" s="1">
        <f t="shared" ref="L33:P33" si="12">+L32</f>
        <v>0</v>
      </c>
      <c r="M33" s="1">
        <f t="shared" si="12"/>
        <v>0</v>
      </c>
      <c r="N33" s="1">
        <f t="shared" si="12"/>
        <v>0</v>
      </c>
      <c r="O33" s="1">
        <f t="shared" si="12"/>
        <v>0</v>
      </c>
      <c r="P33" s="1">
        <f t="shared" si="12"/>
        <v>0</v>
      </c>
    </row>
    <row r="34" spans="2:18" x14ac:dyDescent="0.2">
      <c r="I34"/>
    </row>
    <row r="35" spans="2:18" x14ac:dyDescent="0.2">
      <c r="B35" s="5"/>
      <c r="C35" s="24" t="s">
        <v>69</v>
      </c>
      <c r="D35" s="24"/>
      <c r="F35"/>
      <c r="I35"/>
      <c r="J35" s="1" t="s">
        <v>155</v>
      </c>
      <c r="K35" s="1">
        <f>+D54+D55</f>
        <v>12002000</v>
      </c>
    </row>
    <row r="36" spans="2:18" x14ac:dyDescent="0.2">
      <c r="B36" s="1" t="s">
        <v>13</v>
      </c>
      <c r="C36" s="1" t="s">
        <v>89</v>
      </c>
      <c r="D36" s="10">
        <v>0</v>
      </c>
      <c r="F36" t="b">
        <f>+D28&gt;=D36</f>
        <v>1</v>
      </c>
      <c r="I36"/>
      <c r="J36" s="1" t="s">
        <v>63</v>
      </c>
      <c r="K36" s="1">
        <v>0</v>
      </c>
      <c r="L36" s="1">
        <f>D15*D12*(1-D27)*$D$36*(1+$D$33)</f>
        <v>0</v>
      </c>
      <c r="M36" s="1">
        <f>+L36*(1+$D$33)</f>
        <v>0</v>
      </c>
      <c r="N36" s="1">
        <f>+M36*(1+$D$33)</f>
        <v>0</v>
      </c>
      <c r="O36" s="1">
        <f>+N36*(1+$D$33)</f>
        <v>0</v>
      </c>
      <c r="P36" s="1">
        <f>+O36*(1+$D$33)</f>
        <v>0</v>
      </c>
      <c r="R36" s="46" t="s">
        <v>120</v>
      </c>
    </row>
    <row r="37" spans="2:18" x14ac:dyDescent="0.2">
      <c r="B37" s="47" t="s">
        <v>117</v>
      </c>
      <c r="C37" s="45" t="s">
        <v>122</v>
      </c>
      <c r="D37" s="45">
        <f>+SUMIF(K40:P40,"&gt;0")</f>
        <v>0</v>
      </c>
      <c r="F37"/>
      <c r="J37" s="1" t="s">
        <v>156</v>
      </c>
      <c r="K37" s="10"/>
      <c r="L37" s="10"/>
      <c r="M37" s="10"/>
      <c r="N37" s="10"/>
      <c r="O37" s="10"/>
      <c r="P37" s="10"/>
      <c r="R37" s="46" t="s">
        <v>119</v>
      </c>
    </row>
    <row r="38" spans="2:18" x14ac:dyDescent="0.2">
      <c r="J38" s="1" t="str">
        <f>+"Preferred dividends at "&amp;D56&amp;" pa"</f>
        <v>Preferred dividends at 0.22 pa</v>
      </c>
      <c r="K38" s="1">
        <f>-K67*$D$56</f>
        <v>0</v>
      </c>
      <c r="L38" s="1">
        <f t="shared" ref="L38:P38" si="13">-L67*$D$56</f>
        <v>-1584000</v>
      </c>
      <c r="M38" s="1">
        <f t="shared" si="13"/>
        <v>-1584000</v>
      </c>
      <c r="N38" s="1">
        <f t="shared" si="13"/>
        <v>-1584000</v>
      </c>
      <c r="O38" s="1">
        <f t="shared" si="13"/>
        <v>-1584000</v>
      </c>
      <c r="P38" s="1">
        <f t="shared" si="13"/>
        <v>-1584000</v>
      </c>
      <c r="R38" s="4">
        <f>+SUM(K40:P40)</f>
        <v>0</v>
      </c>
    </row>
    <row r="39" spans="2:18" x14ac:dyDescent="0.2">
      <c r="B39" s="5"/>
      <c r="C39" s="24" t="s">
        <v>98</v>
      </c>
      <c r="D39" s="24"/>
      <c r="I39"/>
      <c r="J39" s="1" t="s">
        <v>64</v>
      </c>
      <c r="K39" s="1">
        <v>0</v>
      </c>
      <c r="L39" s="1">
        <f>-K36</f>
        <v>0</v>
      </c>
      <c r="M39" s="1">
        <f>-L36</f>
        <v>0</v>
      </c>
      <c r="N39" s="1">
        <f>-M36</f>
        <v>0</v>
      </c>
      <c r="O39" s="1">
        <f>-N36</f>
        <v>0</v>
      </c>
      <c r="P39" s="1">
        <f>-O36</f>
        <v>0</v>
      </c>
    </row>
    <row r="40" spans="2:18" x14ac:dyDescent="0.2">
      <c r="B40" s="1" t="s">
        <v>13</v>
      </c>
      <c r="C40" s="1" t="s">
        <v>90</v>
      </c>
      <c r="D40" s="10">
        <v>1</v>
      </c>
      <c r="F40" t="b">
        <f>+D28&gt;=D40</f>
        <v>1</v>
      </c>
      <c r="I40"/>
      <c r="J40" s="1" t="s">
        <v>121</v>
      </c>
      <c r="K40" s="10"/>
      <c r="L40" s="10"/>
      <c r="M40" s="10"/>
      <c r="N40" s="10"/>
      <c r="O40" s="10"/>
      <c r="P40" s="10"/>
    </row>
    <row r="41" spans="2:18" x14ac:dyDescent="0.2">
      <c r="B41" s="1" t="s">
        <v>13</v>
      </c>
      <c r="C41" s="1" t="s">
        <v>91</v>
      </c>
      <c r="D41" s="10">
        <v>1</v>
      </c>
      <c r="F41" t="b">
        <f>+D29&gt;=D41</f>
        <v>1</v>
      </c>
      <c r="J41"/>
      <c r="K41"/>
      <c r="L41"/>
      <c r="M41"/>
      <c r="N41"/>
      <c r="O41"/>
      <c r="P41"/>
    </row>
    <row r="42" spans="2:18" x14ac:dyDescent="0.2">
      <c r="C42"/>
      <c r="D42"/>
      <c r="F42"/>
      <c r="I42"/>
      <c r="J42" s="1" t="s">
        <v>65</v>
      </c>
      <c r="K42" s="1">
        <f t="shared" ref="K42:P42" si="14">+SUM(K35:K41)</f>
        <v>12002000</v>
      </c>
      <c r="L42" s="1">
        <f t="shared" si="14"/>
        <v>-1584000</v>
      </c>
      <c r="M42" s="1">
        <f t="shared" si="14"/>
        <v>-1584000</v>
      </c>
      <c r="N42" s="1">
        <f t="shared" si="14"/>
        <v>-1584000</v>
      </c>
      <c r="O42" s="1">
        <f t="shared" si="14"/>
        <v>-1584000</v>
      </c>
      <c r="P42" s="1">
        <f t="shared" si="14"/>
        <v>-1584000</v>
      </c>
    </row>
    <row r="43" spans="2:18" x14ac:dyDescent="0.2">
      <c r="B43" s="5"/>
      <c r="C43" s="24" t="s">
        <v>99</v>
      </c>
      <c r="D43" s="24"/>
      <c r="F43"/>
      <c r="I43"/>
    </row>
    <row r="44" spans="2:18" x14ac:dyDescent="0.2">
      <c r="B44" s="1" t="s">
        <v>13</v>
      </c>
      <c r="C44" s="1" t="s">
        <v>90</v>
      </c>
      <c r="D44" s="10">
        <v>1</v>
      </c>
      <c r="F44" t="b">
        <f>+D28&gt;=D44</f>
        <v>1</v>
      </c>
      <c r="I44"/>
      <c r="J44" s="1" t="s">
        <v>66</v>
      </c>
      <c r="K44" s="1">
        <v>0</v>
      </c>
      <c r="L44" s="1">
        <f>+K46</f>
        <v>1911635.3048</v>
      </c>
      <c r="M44" s="1">
        <f>+L46</f>
        <v>1447105.2326480038</v>
      </c>
      <c r="N44" s="1">
        <f>+M46</f>
        <v>1080738.9735931766</v>
      </c>
      <c r="O44" s="1">
        <f>+N46</f>
        <v>726534.65194780473</v>
      </c>
      <c r="P44" s="1">
        <f>+O46</f>
        <v>384613.88708597329</v>
      </c>
    </row>
    <row r="45" spans="2:18" x14ac:dyDescent="0.2">
      <c r="D45"/>
      <c r="G45"/>
      <c r="J45" s="1" t="s">
        <v>67</v>
      </c>
      <c r="K45" s="1">
        <f t="shared" ref="K45:P45" si="15">+K30+K33+K42</f>
        <v>1911635.3048</v>
      </c>
      <c r="L45" s="1">
        <f t="shared" si="15"/>
        <v>-464530.0721519962</v>
      </c>
      <c r="M45" s="1">
        <f t="shared" si="15"/>
        <v>-366366.25905482727</v>
      </c>
      <c r="N45" s="1">
        <f t="shared" si="15"/>
        <v>-354204.32164537185</v>
      </c>
      <c r="O45" s="1">
        <f t="shared" si="15"/>
        <v>-341920.76486183144</v>
      </c>
      <c r="P45" s="1">
        <f t="shared" si="15"/>
        <v>-330954.37251043948</v>
      </c>
    </row>
    <row r="46" spans="2:18" x14ac:dyDescent="0.2">
      <c r="B46" s="5"/>
      <c r="C46" s="24" t="s">
        <v>46</v>
      </c>
      <c r="D46" s="24"/>
      <c r="G46"/>
      <c r="J46" s="1" t="s">
        <v>68</v>
      </c>
      <c r="K46" s="1">
        <f t="shared" ref="K46:P46" si="16">+SUM(K44:K45)</f>
        <v>1911635.3048</v>
      </c>
      <c r="L46" s="1">
        <f t="shared" si="16"/>
        <v>1447105.2326480038</v>
      </c>
      <c r="M46" s="1">
        <f t="shared" si="16"/>
        <v>1080738.9735931766</v>
      </c>
      <c r="N46" s="1">
        <f t="shared" si="16"/>
        <v>726534.65194780473</v>
      </c>
      <c r="O46" s="1">
        <f t="shared" si="16"/>
        <v>384613.88708597329</v>
      </c>
      <c r="P46" s="1">
        <f t="shared" si="16"/>
        <v>53659.514575533802</v>
      </c>
    </row>
    <row r="47" spans="2:18" x14ac:dyDescent="0.2">
      <c r="B47" s="1" t="s">
        <v>92</v>
      </c>
      <c r="C47" s="3" t="s">
        <v>47</v>
      </c>
      <c r="D47" s="10">
        <v>60000</v>
      </c>
      <c r="G47"/>
    </row>
    <row r="48" spans="2:18" x14ac:dyDescent="0.2">
      <c r="B48" s="1" t="s">
        <v>5</v>
      </c>
      <c r="C48" s="6" t="s">
        <v>48</v>
      </c>
      <c r="D48" s="11">
        <v>0.2</v>
      </c>
      <c r="E48"/>
      <c r="F48" s="6"/>
      <c r="G48"/>
      <c r="I48" s="4" t="s">
        <v>96</v>
      </c>
    </row>
    <row r="49" spans="2:16" x14ac:dyDescent="0.2">
      <c r="E49"/>
      <c r="G49"/>
      <c r="J49" s="1" t="s">
        <v>43</v>
      </c>
      <c r="K49" s="1">
        <f t="shared" ref="K49:P49" si="17">+K46</f>
        <v>1911635.3048</v>
      </c>
      <c r="L49" s="1">
        <f t="shared" si="17"/>
        <v>1447105.2326480038</v>
      </c>
      <c r="M49" s="1">
        <f t="shared" si="17"/>
        <v>1080738.9735931766</v>
      </c>
      <c r="N49" s="1">
        <f t="shared" si="17"/>
        <v>726534.65194780473</v>
      </c>
      <c r="O49" s="1">
        <f t="shared" si="17"/>
        <v>384613.88708597329</v>
      </c>
      <c r="P49" s="1">
        <f t="shared" si="17"/>
        <v>53659.514575533802</v>
      </c>
    </row>
    <row r="50" spans="2:16" x14ac:dyDescent="0.2">
      <c r="B50" s="5"/>
      <c r="C50" s="24" t="s">
        <v>100</v>
      </c>
      <c r="D50" s="24"/>
      <c r="E50"/>
      <c r="G50"/>
      <c r="J50" s="1" t="s">
        <v>40</v>
      </c>
      <c r="K50" s="1">
        <f>+K12*($D$40/$D$28)+K13*($D$41/$D$29)</f>
        <v>11250152.670000002</v>
      </c>
      <c r="L50" s="1">
        <f>+L12*($D$40/L7)+L13*($D$41/L8)</f>
        <v>11362654.196700001</v>
      </c>
      <c r="M50" s="1">
        <f>+M12*($D$40/M7)+M13*($D$41/M8)</f>
        <v>11476280.738666998</v>
      </c>
      <c r="N50" s="1">
        <f>+N12*($D$40/N7)+N13*($D$41/N8)</f>
        <v>11591043.546053667</v>
      </c>
      <c r="O50" s="1">
        <f>+O12*($D$40/O7)+O13*($D$41/O8)</f>
        <v>11706953.981514206</v>
      </c>
      <c r="P50" s="1">
        <f>+P12*($D$40/P7)+P13*($D$41/P8)</f>
        <v>11824023.521329349</v>
      </c>
    </row>
    <row r="51" spans="2:16" x14ac:dyDescent="0.2">
      <c r="B51" s="1" t="s">
        <v>13</v>
      </c>
      <c r="C51" s="1" t="s">
        <v>90</v>
      </c>
      <c r="D51" s="10">
        <v>1</v>
      </c>
      <c r="E51"/>
      <c r="F51" t="b">
        <f>+D28&gt;=D51</f>
        <v>1</v>
      </c>
      <c r="G51"/>
      <c r="J51" s="1" t="s">
        <v>42</v>
      </c>
      <c r="K51" s="1">
        <f>-K14*($D$44/$D$28)</f>
        <v>10590000</v>
      </c>
      <c r="L51" s="1">
        <f>-L14*($D$44/L7)</f>
        <v>10695900</v>
      </c>
      <c r="M51" s="1">
        <f>-M14*($D$44/M7)</f>
        <v>10802859</v>
      </c>
      <c r="N51" s="1">
        <f>-N14*($D$44/N7)</f>
        <v>10910887.589999998</v>
      </c>
      <c r="O51" s="1">
        <f>-O14*($D$44/O7)</f>
        <v>11019996.4659</v>
      </c>
      <c r="P51" s="1">
        <f>-P14*($D$44/P7)</f>
        <v>11130196.430558998</v>
      </c>
    </row>
    <row r="52" spans="2:16" x14ac:dyDescent="0.2">
      <c r="E52"/>
      <c r="G52"/>
      <c r="J52" s="1" t="s">
        <v>44</v>
      </c>
      <c r="K52" s="17">
        <f t="shared" ref="K52:P52" si="18">+SUM(K49:K51)</f>
        <v>23751787.974800002</v>
      </c>
      <c r="L52" s="17">
        <f t="shared" si="18"/>
        <v>23505659.429348007</v>
      </c>
      <c r="M52" s="17">
        <f t="shared" si="18"/>
        <v>23359878.712260175</v>
      </c>
      <c r="N52" s="17">
        <f t="shared" si="18"/>
        <v>23228465.78800147</v>
      </c>
      <c r="O52" s="17">
        <f t="shared" si="18"/>
        <v>23111564.334500179</v>
      </c>
      <c r="P52" s="17">
        <f t="shared" si="18"/>
        <v>23007879.466463879</v>
      </c>
    </row>
    <row r="53" spans="2:16" x14ac:dyDescent="0.2">
      <c r="B53" s="5"/>
      <c r="C53" s="24" t="s">
        <v>54</v>
      </c>
      <c r="D53" s="24"/>
      <c r="E53"/>
      <c r="G53"/>
      <c r="J53"/>
      <c r="K53"/>
      <c r="L53"/>
    </row>
    <row r="54" spans="2:16" x14ac:dyDescent="0.2">
      <c r="B54" s="1" t="s">
        <v>92</v>
      </c>
      <c r="C54" s="1" t="s">
        <v>55</v>
      </c>
      <c r="D54" s="10">
        <v>2000</v>
      </c>
      <c r="E54"/>
      <c r="G54"/>
      <c r="J54" s="1" t="s">
        <v>45</v>
      </c>
      <c r="K54" s="17">
        <f>+D47</f>
        <v>60000</v>
      </c>
      <c r="L54" s="17">
        <f>+K54</f>
        <v>60000</v>
      </c>
      <c r="M54" s="17">
        <f>+L54</f>
        <v>60000</v>
      </c>
      <c r="N54" s="17">
        <f>+M54</f>
        <v>60000</v>
      </c>
      <c r="O54" s="17">
        <f>+N54</f>
        <v>60000</v>
      </c>
      <c r="P54" s="17">
        <v>0</v>
      </c>
    </row>
    <row r="55" spans="2:16" x14ac:dyDescent="0.2">
      <c r="B55" s="1" t="s">
        <v>92</v>
      </c>
      <c r="C55" s="1" t="s">
        <v>111</v>
      </c>
      <c r="D55" s="10">
        <v>12000000</v>
      </c>
      <c r="E55"/>
      <c r="F55"/>
      <c r="G55"/>
      <c r="J55" s="1" t="s">
        <v>49</v>
      </c>
      <c r="K55" s="6">
        <f>-K54*$D$48</f>
        <v>-12000</v>
      </c>
      <c r="L55" s="6">
        <f>+K55-$D$48*$D$47</f>
        <v>-24000</v>
      </c>
      <c r="M55" s="6">
        <f>+L55-$D$48*$D$47</f>
        <v>-36000</v>
      </c>
      <c r="N55" s="6">
        <f>+M55-$D$48*$D$47</f>
        <v>-48000</v>
      </c>
      <c r="O55" s="6">
        <f>+N55-$D$48*$D$47</f>
        <v>-60000</v>
      </c>
      <c r="P55" s="6">
        <v>0</v>
      </c>
    </row>
    <row r="56" spans="2:16" x14ac:dyDescent="0.2">
      <c r="B56" s="1" t="s">
        <v>5</v>
      </c>
      <c r="C56" s="1" t="s">
        <v>159</v>
      </c>
      <c r="D56" s="11">
        <v>0.22</v>
      </c>
      <c r="E56"/>
      <c r="F56"/>
      <c r="G56"/>
      <c r="J56" s="1" t="s">
        <v>50</v>
      </c>
      <c r="K56" s="6">
        <f>+SUM(K54:K55)</f>
        <v>48000</v>
      </c>
      <c r="L56" s="6">
        <f>+SUM(L54:L55)</f>
        <v>36000</v>
      </c>
      <c r="M56" s="6">
        <f>+SUM(M54:M55)</f>
        <v>24000</v>
      </c>
      <c r="N56" s="6">
        <f>+SUM(N54:N55)</f>
        <v>12000</v>
      </c>
      <c r="O56" s="6">
        <f>+SUM(O54:O55)</f>
        <v>0</v>
      </c>
      <c r="P56" s="6">
        <v>0</v>
      </c>
    </row>
    <row r="57" spans="2:16" x14ac:dyDescent="0.2">
      <c r="J57"/>
      <c r="K57" s="6"/>
      <c r="L57" s="6"/>
      <c r="M57" s="6"/>
      <c r="N57" s="6"/>
      <c r="O57" s="6"/>
      <c r="P57" s="6"/>
    </row>
    <row r="58" spans="2:16" x14ac:dyDescent="0.2">
      <c r="B58" s="41"/>
      <c r="C58" s="24" t="s">
        <v>113</v>
      </c>
      <c r="D58" s="24"/>
      <c r="E58"/>
      <c r="F58"/>
      <c r="J58" s="1" t="s">
        <v>51</v>
      </c>
      <c r="K58" s="6">
        <f t="shared" ref="K58:P58" si="19">+K56+K52</f>
        <v>23799787.974800002</v>
      </c>
      <c r="L58" s="6">
        <f t="shared" si="19"/>
        <v>23541659.429348007</v>
      </c>
      <c r="M58" s="6">
        <f t="shared" si="19"/>
        <v>23383878.712260175</v>
      </c>
      <c r="N58" s="6">
        <f t="shared" si="19"/>
        <v>23240465.78800147</v>
      </c>
      <c r="O58" s="6">
        <f t="shared" si="19"/>
        <v>23111564.334500179</v>
      </c>
      <c r="P58" s="6">
        <f t="shared" si="19"/>
        <v>23007879.466463879</v>
      </c>
    </row>
    <row r="59" spans="2:16" x14ac:dyDescent="0.2">
      <c r="B59" s="1" t="s">
        <v>92</v>
      </c>
      <c r="C59" s="1" t="s">
        <v>118</v>
      </c>
      <c r="D59" s="11">
        <v>2.5000000000000001E-2</v>
      </c>
      <c r="E59"/>
      <c r="F59"/>
      <c r="J59" s="4"/>
      <c r="K59" s="6"/>
      <c r="L59" s="6"/>
      <c r="M59" s="6"/>
      <c r="N59" s="6"/>
      <c r="O59" s="6"/>
      <c r="P59" s="6"/>
    </row>
    <row r="60" spans="2:16" x14ac:dyDescent="0.2">
      <c r="J60" s="1" t="s">
        <v>52</v>
      </c>
      <c r="K60" s="6">
        <f>-K14*($D$51/$D$28)</f>
        <v>10590000</v>
      </c>
      <c r="L60" s="6">
        <f>-L14*($D$51/L7)</f>
        <v>10695900</v>
      </c>
      <c r="M60" s="6">
        <f>-M14*($D$51/M7)</f>
        <v>10802859</v>
      </c>
      <c r="N60" s="6">
        <f>-N14*($D$51/N7)</f>
        <v>10910887.589999998</v>
      </c>
      <c r="O60" s="6">
        <f>-O14*($D$51/O7)</f>
        <v>11019996.4659</v>
      </c>
      <c r="P60" s="6">
        <f>-P14*($D$51/P7)</f>
        <v>11130196.430558998</v>
      </c>
    </row>
    <row r="61" spans="2:16" x14ac:dyDescent="0.2">
      <c r="B61" s="1" t="s">
        <v>106</v>
      </c>
      <c r="C61"/>
      <c r="D61" s="17"/>
      <c r="J61" s="1" t="s">
        <v>71</v>
      </c>
      <c r="K61" s="1">
        <f t="shared" ref="K61:P61" si="20">+K36</f>
        <v>0</v>
      </c>
      <c r="L61" s="1">
        <f t="shared" si="20"/>
        <v>0</v>
      </c>
      <c r="M61" s="1">
        <f t="shared" si="20"/>
        <v>0</v>
      </c>
      <c r="N61" s="1">
        <f t="shared" si="20"/>
        <v>0</v>
      </c>
      <c r="O61" s="1">
        <f t="shared" si="20"/>
        <v>0</v>
      </c>
      <c r="P61" s="1">
        <f t="shared" si="20"/>
        <v>0</v>
      </c>
    </row>
    <row r="62" spans="2:16" x14ac:dyDescent="0.2">
      <c r="C62" t="s">
        <v>107</v>
      </c>
      <c r="D62" s="17">
        <f>+K50/K12*365</f>
        <v>76.041623669936527</v>
      </c>
      <c r="J62" s="1" t="s">
        <v>102</v>
      </c>
      <c r="K62" s="1">
        <f>+IF(K40&gt;0,K40,0)</f>
        <v>0</v>
      </c>
      <c r="L62" s="1">
        <f>+L40+SUM($K$40:K40)</f>
        <v>0</v>
      </c>
      <c r="M62" s="1">
        <f>+M40+SUM($K$40:L40)</f>
        <v>0</v>
      </c>
      <c r="N62" s="1">
        <f>+N40+SUM($K$40:M40)</f>
        <v>0</v>
      </c>
      <c r="O62" s="1">
        <f>+O40+SUM($K$40:N40)</f>
        <v>0</v>
      </c>
      <c r="P62" s="1">
        <f>+P40+SUM($K$40:O40)</f>
        <v>0</v>
      </c>
    </row>
    <row r="63" spans="2:16" x14ac:dyDescent="0.2">
      <c r="C63" t="s">
        <v>99</v>
      </c>
      <c r="D63" s="17">
        <f>-K51/K14*365</f>
        <v>73</v>
      </c>
      <c r="J63" s="1" t="s">
        <v>78</v>
      </c>
      <c r="K63" s="1">
        <f t="shared" ref="K63:P63" si="21">+SUM(K60:K62)</f>
        <v>10590000</v>
      </c>
      <c r="L63" s="1">
        <f t="shared" si="21"/>
        <v>10695900</v>
      </c>
      <c r="M63" s="1">
        <f t="shared" si="21"/>
        <v>10802859</v>
      </c>
      <c r="N63" s="1">
        <f t="shared" si="21"/>
        <v>10910887.589999998</v>
      </c>
      <c r="O63" s="1">
        <f t="shared" si="21"/>
        <v>11019996.4659</v>
      </c>
      <c r="P63" s="1">
        <f t="shared" si="21"/>
        <v>11130196.430558998</v>
      </c>
    </row>
    <row r="64" spans="2:16" x14ac:dyDescent="0.2">
      <c r="C64" s="43" t="s">
        <v>108</v>
      </c>
      <c r="D64" s="1">
        <f>-K60/K14*365</f>
        <v>73</v>
      </c>
    </row>
    <row r="65" spans="1:16" x14ac:dyDescent="0.2">
      <c r="J65" s="42" t="s">
        <v>53</v>
      </c>
    </row>
    <row r="66" spans="1:16" x14ac:dyDescent="0.2">
      <c r="J66" s="1" t="s">
        <v>158</v>
      </c>
      <c r="K66" s="1">
        <f>+D54+D55</f>
        <v>12002000</v>
      </c>
      <c r="L66" s="1">
        <f>+K66-D55*$D$153</f>
        <v>4802000</v>
      </c>
      <c r="M66" s="1">
        <f t="shared" ref="M66:P66" si="22">+L66</f>
        <v>4802000</v>
      </c>
      <c r="N66" s="1">
        <f t="shared" si="22"/>
        <v>4802000</v>
      </c>
      <c r="O66" s="1">
        <f t="shared" si="22"/>
        <v>4802000</v>
      </c>
      <c r="P66" s="1">
        <f t="shared" si="22"/>
        <v>4802000</v>
      </c>
    </row>
    <row r="67" spans="1:16" x14ac:dyDescent="0.2">
      <c r="J67" s="1" t="s">
        <v>171</v>
      </c>
      <c r="K67" s="1">
        <v>0</v>
      </c>
      <c r="L67" s="1">
        <f>+D55*$D$153</f>
        <v>7200000</v>
      </c>
      <c r="M67" s="1">
        <f>+L67</f>
        <v>7200000</v>
      </c>
      <c r="N67" s="1">
        <f>+M67</f>
        <v>7200000</v>
      </c>
      <c r="O67" s="1">
        <f>+N67</f>
        <v>7200000</v>
      </c>
      <c r="P67" s="1">
        <f>+O67</f>
        <v>7200000</v>
      </c>
    </row>
    <row r="68" spans="1:16" x14ac:dyDescent="0.2">
      <c r="J68" s="1" t="s">
        <v>70</v>
      </c>
      <c r="K68" s="1">
        <f t="shared" ref="K68:P68" si="23">+K21</f>
        <v>1207787.9748000011</v>
      </c>
      <c r="L68" s="1">
        <f t="shared" si="23"/>
        <v>1219971.4545480032</v>
      </c>
      <c r="M68" s="1">
        <f t="shared" si="23"/>
        <v>1319260.2829121698</v>
      </c>
      <c r="N68" s="1">
        <f t="shared" si="23"/>
        <v>1332558.4857412966</v>
      </c>
      <c r="O68" s="1">
        <f t="shared" si="23"/>
        <v>1345989.6705987081</v>
      </c>
      <c r="P68" s="1">
        <f t="shared" si="23"/>
        <v>1370115.1673047033</v>
      </c>
    </row>
    <row r="69" spans="1:16" x14ac:dyDescent="0.2">
      <c r="J69" s="1" t="s">
        <v>161</v>
      </c>
      <c r="K69" s="1">
        <f t="shared" ref="K69:P69" si="24">+K38</f>
        <v>0</v>
      </c>
      <c r="L69" s="1">
        <f t="shared" si="24"/>
        <v>-1584000</v>
      </c>
      <c r="M69" s="1">
        <f t="shared" si="24"/>
        <v>-1584000</v>
      </c>
      <c r="N69" s="1">
        <f t="shared" si="24"/>
        <v>-1584000</v>
      </c>
      <c r="O69" s="1">
        <f t="shared" si="24"/>
        <v>-1584000</v>
      </c>
      <c r="P69" s="1">
        <f t="shared" si="24"/>
        <v>-1584000</v>
      </c>
    </row>
    <row r="70" spans="1:16" x14ac:dyDescent="0.2">
      <c r="F70" s="56"/>
      <c r="J70" s="1" t="s">
        <v>160</v>
      </c>
      <c r="K70" s="1">
        <f>+K37</f>
        <v>0</v>
      </c>
      <c r="L70" s="1">
        <f t="shared" ref="L70:P70" si="25">+L37</f>
        <v>0</v>
      </c>
      <c r="M70" s="1">
        <f t="shared" si="25"/>
        <v>0</v>
      </c>
      <c r="N70" s="1">
        <f t="shared" si="25"/>
        <v>0</v>
      </c>
      <c r="O70" s="1">
        <f t="shared" si="25"/>
        <v>0</v>
      </c>
      <c r="P70" s="1">
        <f t="shared" si="25"/>
        <v>0</v>
      </c>
    </row>
    <row r="71" spans="1:16" x14ac:dyDescent="0.2">
      <c r="F71" s="56"/>
      <c r="J71" s="1" t="s">
        <v>56</v>
      </c>
      <c r="K71" s="1">
        <f>+SUM(K68:K70)</f>
        <v>1207787.9748000011</v>
      </c>
      <c r="L71" s="1">
        <f>+K71+L68+L69+L70</f>
        <v>843759.42934800405</v>
      </c>
      <c r="M71" s="1">
        <f>+L71+M68+M69</f>
        <v>579019.71226017363</v>
      </c>
      <c r="N71" s="1">
        <f>+M71+N68+N69</f>
        <v>327578.19800147018</v>
      </c>
      <c r="O71" s="1">
        <f>+N71+O68+O69</f>
        <v>89567.868600178277</v>
      </c>
      <c r="P71" s="1">
        <f>+O71+P68+P69</f>
        <v>-124316.96409511846</v>
      </c>
    </row>
    <row r="72" spans="1:16" x14ac:dyDescent="0.2">
      <c r="F72" s="56"/>
      <c r="J72" s="1" t="s">
        <v>57</v>
      </c>
      <c r="K72" s="1">
        <f t="shared" ref="K72:P72" si="26">+K66+K67+K71</f>
        <v>13209787.974800002</v>
      </c>
      <c r="L72" s="1">
        <f t="shared" si="26"/>
        <v>12845759.429348003</v>
      </c>
      <c r="M72" s="1">
        <f t="shared" si="26"/>
        <v>12581019.712260174</v>
      </c>
      <c r="N72" s="1">
        <f t="shared" si="26"/>
        <v>12329578.19800147</v>
      </c>
      <c r="O72" s="1">
        <f t="shared" si="26"/>
        <v>12091567.868600179</v>
      </c>
      <c r="P72" s="1">
        <f t="shared" si="26"/>
        <v>11877683.035904881</v>
      </c>
    </row>
    <row r="73" spans="1:16" x14ac:dyDescent="0.2">
      <c r="F73" s="56"/>
    </row>
    <row r="74" spans="1:16" x14ac:dyDescent="0.2">
      <c r="F74" s="56"/>
      <c r="J74" s="19" t="s">
        <v>72</v>
      </c>
      <c r="K74" s="20">
        <f t="shared" ref="K74:P74" si="27">+K58-(K63+K72)</f>
        <v>0</v>
      </c>
      <c r="L74" s="20">
        <f t="shared" si="27"/>
        <v>0</v>
      </c>
      <c r="M74" s="20">
        <f t="shared" si="27"/>
        <v>0</v>
      </c>
      <c r="N74" s="20">
        <f t="shared" si="27"/>
        <v>0</v>
      </c>
      <c r="O74" s="20">
        <f t="shared" si="27"/>
        <v>0</v>
      </c>
      <c r="P74" s="21">
        <f t="shared" si="27"/>
        <v>0</v>
      </c>
    </row>
    <row r="75" spans="1:16" x14ac:dyDescent="0.2">
      <c r="J75" s="22" t="s">
        <v>73</v>
      </c>
      <c r="K75" s="15">
        <f>+K45-K49</f>
        <v>0</v>
      </c>
      <c r="L75" s="15">
        <f>+L45-L49+K49</f>
        <v>0</v>
      </c>
      <c r="M75" s="15">
        <f>+M45-M49+L49</f>
        <v>0</v>
      </c>
      <c r="N75" s="15">
        <f>+N45-N49+M49</f>
        <v>0</v>
      </c>
      <c r="O75" s="15">
        <f>+O45-O49+N49</f>
        <v>0</v>
      </c>
      <c r="P75" s="23">
        <f>+P45-P49+O49</f>
        <v>0</v>
      </c>
    </row>
    <row r="77" spans="1:16" x14ac:dyDescent="0.2">
      <c r="A77" s="28"/>
      <c r="B77" s="28"/>
      <c r="C77" s="28"/>
      <c r="D77" s="28"/>
      <c r="E77" s="28"/>
      <c r="F77" s="28"/>
      <c r="G77" s="28"/>
      <c r="I77" s="28" t="s">
        <v>123</v>
      </c>
      <c r="J77" s="28"/>
      <c r="K77" s="35"/>
      <c r="L77" s="35"/>
      <c r="M77" s="35"/>
      <c r="N77" s="35"/>
      <c r="O77" s="35"/>
      <c r="P77" s="35"/>
    </row>
    <row r="78" spans="1:16" x14ac:dyDescent="0.2">
      <c r="J78" s="34" t="s">
        <v>93</v>
      </c>
      <c r="K78" s="52" t="str">
        <f t="shared" ref="K78:P78" si="28">+K11</f>
        <v>Year 0</v>
      </c>
      <c r="L78" s="52" t="str">
        <f t="shared" si="28"/>
        <v>Year 1</v>
      </c>
      <c r="M78" s="52" t="str">
        <f t="shared" si="28"/>
        <v>Year 2</v>
      </c>
      <c r="N78" s="52" t="str">
        <f t="shared" si="28"/>
        <v>Year 3</v>
      </c>
      <c r="O78" s="52" t="str">
        <f t="shared" si="28"/>
        <v>Year 4</v>
      </c>
      <c r="P78" s="52" t="str">
        <f t="shared" si="28"/>
        <v>Year 5</v>
      </c>
    </row>
    <row r="79" spans="1:16" x14ac:dyDescent="0.2">
      <c r="J79" s="1" t="s">
        <v>124</v>
      </c>
      <c r="L79" s="48" cm="1">
        <f t="array" ref="L79">+SUM(L12:L13/SUM(K12:K13))-1</f>
        <v>1.0000000000000009E-2</v>
      </c>
      <c r="M79" s="48" cm="1">
        <f t="array" ref="M79">+SUM(M12:M13/SUM(L12:L13))-1</f>
        <v>0.20868857063350799</v>
      </c>
      <c r="N79" s="48" cm="1">
        <f t="array" ref="N79">+SUM(N12:N13/SUM(M12:M13))-1</f>
        <v>1.0000000000000009E-2</v>
      </c>
      <c r="O79" s="48" cm="1">
        <f t="array" ref="O79">+SUM(O12:O13/SUM(N12:N13))-1</f>
        <v>1.0000000000000231E-2</v>
      </c>
      <c r="P79" s="48" cm="1">
        <f t="array" ref="P79">+SUM(P12:P13/SUM(O12:O13))-1</f>
        <v>1.0000000000000009E-2</v>
      </c>
    </row>
    <row r="80" spans="1:16" x14ac:dyDescent="0.2">
      <c r="J80" s="1" t="s">
        <v>125</v>
      </c>
      <c r="L80" s="48">
        <f>+(L110+L116)/(K110+K116)-1</f>
        <v>1.0000000000001341E-2</v>
      </c>
      <c r="M80" s="48">
        <f>+(M110+M116)/(L110+L116)-1</f>
        <v>0.1047347151615432</v>
      </c>
      <c r="N80" s="48">
        <f>+(N110+N116)/(M110+M116)-1</f>
        <v>1.0000000000002895E-2</v>
      </c>
      <c r="O80" s="48">
        <f>+(O110+O116)/(N110+N116)-1</f>
        <v>9.9999999999993427E-3</v>
      </c>
      <c r="P80" s="48">
        <f>+(P110+P116)/(O110+O116)-1</f>
        <v>1.0000000000004672E-2</v>
      </c>
    </row>
    <row r="81" spans="10:16" x14ac:dyDescent="0.2">
      <c r="J81" s="1" t="s">
        <v>126</v>
      </c>
      <c r="L81" s="48">
        <f>+L30/K30-1</f>
        <v>-1.1116080981964418</v>
      </c>
      <c r="M81" s="48">
        <f>+M30/L30-1</f>
        <v>8.7687762444742523E-2</v>
      </c>
      <c r="N81" s="48">
        <f>+N30/M30-1</f>
        <v>9.9881737836986506E-3</v>
      </c>
      <c r="O81" s="48">
        <f>+O30/N30-1</f>
        <v>9.9882907378361363E-3</v>
      </c>
      <c r="P81" s="48">
        <f>+P30/O30-1</f>
        <v>8.8290602090068671E-3</v>
      </c>
    </row>
    <row r="82" spans="10:16" x14ac:dyDescent="0.2">
      <c r="J82" s="1" t="s">
        <v>127</v>
      </c>
      <c r="L82" s="48">
        <f>(L30-SUM(L26:L28))/(K30-SUM(K26:K28))-1</f>
        <v>9.9881946696507296E-3</v>
      </c>
      <c r="M82" s="48">
        <f>(M30-SUM(M26:M28))/(L30-SUM(L26:L28))-1</f>
        <v>8.0593448815414748E-2</v>
      </c>
      <c r="N82" s="48">
        <f>(N30-SUM(N26:N28))/(M30-SUM(M26:M28))-1</f>
        <v>9.9891831821472543E-3</v>
      </c>
      <c r="O82" s="48">
        <f>(O30-SUM(O26:O28))/(N30-SUM(N26:N28))-1</f>
        <v>9.9892901646494447E-3</v>
      </c>
      <c r="P82" s="48">
        <f>(P30-SUM(P26:P28))/(O30-SUM(O26:O28))-1</f>
        <v>8.9290051084478517E-3</v>
      </c>
    </row>
    <row r="83" spans="10:16" x14ac:dyDescent="0.2">
      <c r="J83" s="1" t="s">
        <v>128</v>
      </c>
      <c r="L83" s="48">
        <f>+L21/K21-1</f>
        <v>1.0087432564494181E-2</v>
      </c>
      <c r="M83" s="48">
        <f>+M21/L21-1</f>
        <v>8.138618981126311E-2</v>
      </c>
      <c r="N83" s="48">
        <f>+N21/M21-1</f>
        <v>1.0080044856479731E-2</v>
      </c>
      <c r="O83" s="48">
        <f>+O21/N21-1</f>
        <v>1.0079246052708823E-2</v>
      </c>
      <c r="P83" s="48">
        <f>+P21/O21-1</f>
        <v>1.7923983543843836E-2</v>
      </c>
    </row>
    <row r="85" spans="10:16" x14ac:dyDescent="0.2">
      <c r="J85" s="34" t="s">
        <v>129</v>
      </c>
    </row>
    <row r="86" spans="10:16" x14ac:dyDescent="0.2">
      <c r="J86" s="1" t="s">
        <v>130</v>
      </c>
      <c r="K86" s="48">
        <f t="shared" ref="K86:P86" si="29">+K110/SUM(K12:K13)</f>
        <v>3.0652822425646681E-2</v>
      </c>
      <c r="L86" s="48">
        <f t="shared" si="29"/>
        <v>3.0654986546397298E-2</v>
      </c>
      <c r="M86" s="48">
        <f t="shared" si="29"/>
        <v>2.8037241776756438E-2</v>
      </c>
      <c r="N86" s="48">
        <f t="shared" si="29"/>
        <v>2.8039014519433594E-2</v>
      </c>
      <c r="O86" s="48">
        <f t="shared" si="29"/>
        <v>2.8040769710202949E-2</v>
      </c>
      <c r="P86" s="48">
        <f t="shared" si="29"/>
        <v>2.8216288787140806E-2</v>
      </c>
    </row>
    <row r="87" spans="10:16" x14ac:dyDescent="0.2">
      <c r="J87" s="1" t="s">
        <v>131</v>
      </c>
      <c r="K87" s="48">
        <f t="shared" ref="K87:P87" si="30">+(K110+K116)/SUM(K12:K13)</f>
        <v>3.0871398621454712E-2</v>
      </c>
      <c r="L87" s="48">
        <f t="shared" si="30"/>
        <v>3.0871398621454754E-2</v>
      </c>
      <c r="M87" s="48">
        <f t="shared" si="30"/>
        <v>2.8216288787140619E-2</v>
      </c>
      <c r="N87" s="48">
        <f t="shared" si="30"/>
        <v>2.8216288787140702E-2</v>
      </c>
      <c r="O87" s="48">
        <f t="shared" si="30"/>
        <v>2.8216288787140678E-2</v>
      </c>
      <c r="P87" s="48">
        <f t="shared" si="30"/>
        <v>2.8216288787140806E-2</v>
      </c>
    </row>
    <row r="88" spans="10:16" x14ac:dyDescent="0.2">
      <c r="J88" s="1" t="s">
        <v>132</v>
      </c>
      <c r="K88" s="48">
        <f t="shared" ref="K88:P88" si="31">+K21/SUM(K12:K13)</f>
        <v>2.1999475072872574E-2</v>
      </c>
      <c r="L88" s="48">
        <f t="shared" si="31"/>
        <v>2.2001379499133115E-2</v>
      </c>
      <c r="M88" s="48">
        <f t="shared" si="31"/>
        <v>1.9684134131167583E-2</v>
      </c>
      <c r="N88" s="48">
        <f t="shared" si="31"/>
        <v>1.968569414472348E-2</v>
      </c>
      <c r="O88" s="48">
        <f t="shared" si="31"/>
        <v>1.9687238712600509E-2</v>
      </c>
      <c r="P88" s="48">
        <f t="shared" si="31"/>
        <v>1.9841695500305827E-2</v>
      </c>
    </row>
    <row r="90" spans="10:16" x14ac:dyDescent="0.2">
      <c r="J90" s="34" t="s">
        <v>133</v>
      </c>
    </row>
    <row r="91" spans="10:16" x14ac:dyDescent="0.2">
      <c r="J91" s="1" t="s">
        <v>134</v>
      </c>
      <c r="K91" s="1">
        <f t="shared" ref="K91:P91" si="32">+K62+K61</f>
        <v>0</v>
      </c>
      <c r="L91" s="1">
        <f t="shared" si="32"/>
        <v>0</v>
      </c>
      <c r="M91" s="1">
        <f t="shared" si="32"/>
        <v>0</v>
      </c>
      <c r="N91" s="1">
        <f t="shared" si="32"/>
        <v>0</v>
      </c>
      <c r="O91" s="1">
        <f t="shared" si="32"/>
        <v>0</v>
      </c>
      <c r="P91" s="1">
        <f t="shared" si="32"/>
        <v>0</v>
      </c>
    </row>
    <row r="92" spans="10:16" x14ac:dyDescent="0.2">
      <c r="J92" s="1" t="s">
        <v>135</v>
      </c>
      <c r="K92" s="1">
        <f t="shared" ref="K92:P92" si="33">+K91-K49</f>
        <v>-1911635.3048</v>
      </c>
      <c r="L92" s="1">
        <f t="shared" si="33"/>
        <v>-1447105.2326480038</v>
      </c>
      <c r="M92" s="1">
        <f t="shared" si="33"/>
        <v>-1080738.9735931766</v>
      </c>
      <c r="N92" s="1">
        <f t="shared" si="33"/>
        <v>-726534.65194780473</v>
      </c>
      <c r="O92" s="1">
        <f t="shared" si="33"/>
        <v>-384613.88708597329</v>
      </c>
      <c r="P92" s="1">
        <f t="shared" si="33"/>
        <v>-53659.514575533802</v>
      </c>
    </row>
    <row r="93" spans="10:16" x14ac:dyDescent="0.2">
      <c r="J93" s="1" t="s">
        <v>136</v>
      </c>
      <c r="K93" s="1">
        <f>+K72</f>
        <v>13209787.974800002</v>
      </c>
      <c r="L93" s="1">
        <f t="shared" ref="L93:P93" si="34">+L72</f>
        <v>12845759.429348003</v>
      </c>
      <c r="M93" s="1">
        <f t="shared" si="34"/>
        <v>12581019.712260174</v>
      </c>
      <c r="N93" s="1">
        <f t="shared" si="34"/>
        <v>12329578.19800147</v>
      </c>
      <c r="O93" s="1">
        <f t="shared" si="34"/>
        <v>12091567.868600179</v>
      </c>
      <c r="P93" s="1">
        <f t="shared" si="34"/>
        <v>11877683.035904881</v>
      </c>
    </row>
    <row r="94" spans="10:16" x14ac:dyDescent="0.2">
      <c r="J94" s="1" t="s">
        <v>137</v>
      </c>
      <c r="K94" s="49">
        <f>+K92/K93</f>
        <v>-0.14471354941099593</v>
      </c>
      <c r="L94" s="49">
        <f t="shared" ref="L94:P94" si="35">+L92/L93</f>
        <v>-0.11265236910336977</v>
      </c>
      <c r="M94" s="49">
        <f t="shared" si="35"/>
        <v>-8.5902335288450343E-2</v>
      </c>
      <c r="N94" s="49">
        <f t="shared" si="35"/>
        <v>-5.8926156295076693E-2</v>
      </c>
      <c r="O94" s="49">
        <f t="shared" si="35"/>
        <v>-3.1808438017765471E-2</v>
      </c>
      <c r="P94" s="49">
        <f t="shared" si="35"/>
        <v>-4.5176752413182949E-3</v>
      </c>
    </row>
    <row r="95" spans="10:16" x14ac:dyDescent="0.2">
      <c r="J95" s="1" t="s">
        <v>138</v>
      </c>
      <c r="K95" s="49">
        <f t="shared" ref="K95:P95" si="36">+K92/(K110+K116)</f>
        <v>-1.1278993700583579</v>
      </c>
      <c r="L95" s="49">
        <f t="shared" si="36"/>
        <v>-0.84536458828219241</v>
      </c>
      <c r="M95" s="49">
        <f t="shared" si="36"/>
        <v>-0.57148751821829713</v>
      </c>
      <c r="N95" s="49">
        <f t="shared" si="36"/>
        <v>-0.38038282118856442</v>
      </c>
      <c r="O95" s="49">
        <f t="shared" si="36"/>
        <v>-0.19937382903195189</v>
      </c>
      <c r="P95" s="49">
        <f t="shared" si="36"/>
        <v>-2.7540292874584704E-2</v>
      </c>
    </row>
    <row r="96" spans="10:16" x14ac:dyDescent="0.2">
      <c r="J96" s="1" t="s">
        <v>139</v>
      </c>
      <c r="K96" s="49">
        <f t="shared" ref="K96:P96" si="37">+(K110+K116)/-K19</f>
        <v>5.4606599976483476</v>
      </c>
      <c r="L96" s="49">
        <f t="shared" si="37"/>
        <v>5.4606599976483547</v>
      </c>
      <c r="M96" s="49">
        <f t="shared" si="37"/>
        <v>4.9773767880330766</v>
      </c>
      <c r="N96" s="49">
        <f t="shared" si="37"/>
        <v>4.9773767880330917</v>
      </c>
      <c r="O96" s="49">
        <f t="shared" si="37"/>
        <v>4.9773767880330873</v>
      </c>
      <c r="P96" s="49">
        <f t="shared" si="37"/>
        <v>4.9773767880331112</v>
      </c>
    </row>
    <row r="97" spans="2:16" x14ac:dyDescent="0.2">
      <c r="J97" s="1" t="s">
        <v>140</v>
      </c>
      <c r="K97" s="48">
        <f t="shared" ref="K97:P97" si="38">+(K69+K70)/-K21</f>
        <v>0</v>
      </c>
      <c r="L97" s="48">
        <f t="shared" si="38"/>
        <v>1.2983910353762078</v>
      </c>
      <c r="M97" s="48">
        <f t="shared" si="38"/>
        <v>1.2006728471378194</v>
      </c>
      <c r="N97" s="48">
        <f t="shared" si="38"/>
        <v>1.1886907906476072</v>
      </c>
      <c r="O97" s="48">
        <f t="shared" si="38"/>
        <v>1.1768292391838511</v>
      </c>
      <c r="P97" s="48">
        <f t="shared" si="38"/>
        <v>1.1561071928836844</v>
      </c>
    </row>
    <row r="99" spans="2:16" x14ac:dyDescent="0.2">
      <c r="J99" s="34" t="s">
        <v>141</v>
      </c>
    </row>
    <row r="100" spans="2:16" x14ac:dyDescent="0.2">
      <c r="J100" s="1" t="s">
        <v>143</v>
      </c>
      <c r="K100" s="48">
        <f t="shared" ref="K100:P100" si="39">+K113/SUM(K12:K13)</f>
        <v>0.20491796440568075</v>
      </c>
      <c r="L100" s="48">
        <f t="shared" si="39"/>
        <v>0.20491796440568075</v>
      </c>
      <c r="M100" s="48">
        <f t="shared" si="39"/>
        <v>0.17123281304898919</v>
      </c>
      <c r="N100" s="48">
        <f t="shared" si="39"/>
        <v>0.17123281304898919</v>
      </c>
      <c r="O100" s="48">
        <f t="shared" si="39"/>
        <v>0.17123281304898919</v>
      </c>
      <c r="P100" s="48">
        <f t="shared" si="39"/>
        <v>0.17123281304898919</v>
      </c>
    </row>
    <row r="101" spans="2:16" x14ac:dyDescent="0.2">
      <c r="J101" s="1" t="s">
        <v>144</v>
      </c>
      <c r="K101" s="1">
        <f>+K92+K93</f>
        <v>11298152.670000002</v>
      </c>
      <c r="L101" s="1">
        <f t="shared" ref="L101:P101" si="40">+L92+L93</f>
        <v>11398654.196699999</v>
      </c>
      <c r="M101" s="1">
        <f t="shared" si="40"/>
        <v>11500280.738666996</v>
      </c>
      <c r="N101" s="1">
        <f t="shared" si="40"/>
        <v>11603043.546053667</v>
      </c>
      <c r="O101" s="1">
        <f t="shared" si="40"/>
        <v>11706953.981514204</v>
      </c>
      <c r="P101" s="1">
        <f t="shared" si="40"/>
        <v>11824023.521329347</v>
      </c>
    </row>
    <row r="102" spans="2:16" x14ac:dyDescent="0.2">
      <c r="J102" s="1" t="s">
        <v>145</v>
      </c>
      <c r="K102" s="48">
        <f t="shared" ref="K102:P102" si="41">+K101/SUM(K12:K13)</f>
        <v>0.20579226918891286</v>
      </c>
      <c r="L102" s="48">
        <f t="shared" si="41"/>
        <v>0.20556720063085304</v>
      </c>
      <c r="M102" s="48">
        <f t="shared" si="41"/>
        <v>0.17159090706975752</v>
      </c>
      <c r="N102" s="48">
        <f t="shared" si="41"/>
        <v>0.1714100873166963</v>
      </c>
      <c r="O102" s="48">
        <f t="shared" si="41"/>
        <v>0.17123281304898919</v>
      </c>
      <c r="P102" s="48">
        <f t="shared" si="41"/>
        <v>0.17123281304898919</v>
      </c>
    </row>
    <row r="104" spans="2:16" x14ac:dyDescent="0.2">
      <c r="J104" s="34" t="s">
        <v>142</v>
      </c>
    </row>
    <row r="105" spans="2:16" x14ac:dyDescent="0.2">
      <c r="J105" s="1" t="s">
        <v>146</v>
      </c>
      <c r="K105" s="1">
        <f t="shared" ref="K105:P105" si="42">+K110+K111</f>
        <v>1480919.7480000013</v>
      </c>
      <c r="L105" s="1">
        <f t="shared" si="42"/>
        <v>1495834.5454800033</v>
      </c>
      <c r="M105" s="1">
        <f t="shared" si="42"/>
        <v>1653606.3491217541</v>
      </c>
      <c r="N105" s="1">
        <f t="shared" si="42"/>
        <v>1670248.0126129764</v>
      </c>
      <c r="O105" s="1">
        <f t="shared" si="42"/>
        <v>1687056.092739105</v>
      </c>
      <c r="P105" s="1">
        <f t="shared" si="42"/>
        <v>1714592.2536665038</v>
      </c>
    </row>
    <row r="106" spans="2:16" x14ac:dyDescent="0.2">
      <c r="J106" s="1" t="s">
        <v>147</v>
      </c>
      <c r="L106" s="48">
        <f>+L105/AVERAGE(K101:L101)</f>
        <v>0.13181013120172794</v>
      </c>
      <c r="M106" s="48">
        <f t="shared" ref="M106:P106" si="43">+M105/AVERAGE(L101:M101)</f>
        <v>0.14442648566748742</v>
      </c>
      <c r="N106" s="48">
        <f t="shared" si="43"/>
        <v>0.14458940990735186</v>
      </c>
      <c r="O106" s="48">
        <f t="shared" si="43"/>
        <v>0.14474957285978998</v>
      </c>
      <c r="P106" s="48">
        <f t="shared" si="43"/>
        <v>0.1457306440804941</v>
      </c>
    </row>
    <row r="107" spans="2:16" x14ac:dyDescent="0.2">
      <c r="J107" s="1" t="s">
        <v>148</v>
      </c>
      <c r="L107" s="48">
        <f>+L21/AVERAGE(K72:L72)</f>
        <v>9.3643893611215057E-2</v>
      </c>
      <c r="M107" s="48">
        <f>+M21/AVERAGE(L72:M72)</f>
        <v>0.10376935871939383</v>
      </c>
      <c r="N107" s="48">
        <f>+N21/AVERAGE(M72:N72)</f>
        <v>0.10698727429519977</v>
      </c>
      <c r="O107" s="48">
        <f>+O21/AVERAGE(N72:O72)</f>
        <v>0.11023149093231813</v>
      </c>
      <c r="P107" s="48">
        <f>+P21/AVERAGE(O72:P72)</f>
        <v>0.11432273563853328</v>
      </c>
    </row>
    <row r="109" spans="2:16" x14ac:dyDescent="0.2">
      <c r="B109" s="35"/>
      <c r="C109" s="35"/>
      <c r="D109" s="35"/>
      <c r="E109" s="35"/>
      <c r="F109" s="35"/>
      <c r="G109" s="35"/>
      <c r="I109" s="28" t="s">
        <v>97</v>
      </c>
      <c r="J109" s="35"/>
      <c r="K109" s="35"/>
      <c r="L109" s="35"/>
      <c r="M109" s="35"/>
      <c r="N109" s="35"/>
      <c r="O109" s="35"/>
      <c r="P109" s="35"/>
    </row>
    <row r="110" spans="2:16" x14ac:dyDescent="0.2">
      <c r="J110" s="1" t="s">
        <v>74</v>
      </c>
      <c r="K110" s="1">
        <f t="shared" ref="K110:P110" si="44">+K15+K16+K17+K18</f>
        <v>1682863.3500000015</v>
      </c>
      <c r="L110" s="1">
        <f t="shared" si="44"/>
        <v>1699811.9835000038</v>
      </c>
      <c r="M110" s="1">
        <f t="shared" si="44"/>
        <v>1879098.1240019931</v>
      </c>
      <c r="N110" s="1">
        <f t="shared" si="44"/>
        <v>1898009.1052420186</v>
      </c>
      <c r="O110" s="1">
        <f t="shared" si="44"/>
        <v>1917109.1962944374</v>
      </c>
      <c r="P110" s="1">
        <f t="shared" si="44"/>
        <v>1948400.2882573907</v>
      </c>
    </row>
    <row r="111" spans="2:16" x14ac:dyDescent="0.2">
      <c r="C111" s="1" t="s">
        <v>80</v>
      </c>
      <c r="D111" s="11">
        <v>0.1</v>
      </c>
      <c r="J111" s="1" t="s">
        <v>22</v>
      </c>
      <c r="K111" s="1">
        <f t="shared" ref="K111:P111" si="45">-K110*$D$25</f>
        <v>-201943.60200000016</v>
      </c>
      <c r="L111" s="1">
        <f t="shared" si="45"/>
        <v>-203977.43802000044</v>
      </c>
      <c r="M111" s="1">
        <f t="shared" si="45"/>
        <v>-225491.77488023916</v>
      </c>
      <c r="N111" s="1">
        <f t="shared" si="45"/>
        <v>-227761.09262904222</v>
      </c>
      <c r="O111" s="1">
        <f t="shared" si="45"/>
        <v>-230053.10355533249</v>
      </c>
      <c r="P111" s="1">
        <f t="shared" si="45"/>
        <v>-233808.03459088688</v>
      </c>
    </row>
    <row r="112" spans="2:16" x14ac:dyDescent="0.2">
      <c r="C112" s="1" t="s">
        <v>84</v>
      </c>
      <c r="D112" s="11">
        <v>0.02</v>
      </c>
    </row>
    <row r="113" spans="10:16" x14ac:dyDescent="0.2">
      <c r="J113" s="1" t="s">
        <v>149</v>
      </c>
      <c r="K113" s="1">
        <f t="shared" ref="K113:P113" si="46">+K52-K63-K49</f>
        <v>11250152.670000002</v>
      </c>
      <c r="L113" s="1">
        <f t="shared" si="46"/>
        <v>11362654.196700003</v>
      </c>
      <c r="M113" s="1">
        <f t="shared" si="46"/>
        <v>11476280.738666998</v>
      </c>
      <c r="N113" s="1">
        <f t="shared" si="46"/>
        <v>11591043.546053667</v>
      </c>
      <c r="O113" s="1">
        <f t="shared" si="46"/>
        <v>11706953.981514204</v>
      </c>
      <c r="P113" s="1">
        <f t="shared" si="46"/>
        <v>11824023.521329347</v>
      </c>
    </row>
    <row r="115" spans="10:16" x14ac:dyDescent="0.2">
      <c r="J115" s="1" t="s">
        <v>76</v>
      </c>
      <c r="K115" s="1">
        <f t="shared" ref="K115:P115" si="47">+SUM(K110:K111)</f>
        <v>1480919.7480000013</v>
      </c>
      <c r="L115" s="1">
        <f t="shared" si="47"/>
        <v>1495834.5454800033</v>
      </c>
      <c r="M115" s="1">
        <f t="shared" si="47"/>
        <v>1653606.3491217541</v>
      </c>
      <c r="N115" s="1">
        <f t="shared" si="47"/>
        <v>1670248.0126129764</v>
      </c>
      <c r="O115" s="1">
        <f t="shared" si="47"/>
        <v>1687056.092739105</v>
      </c>
      <c r="P115" s="1">
        <f t="shared" si="47"/>
        <v>1714592.2536665038</v>
      </c>
    </row>
    <row r="116" spans="10:16" x14ac:dyDescent="0.2">
      <c r="J116" s="1" t="s">
        <v>75</v>
      </c>
      <c r="K116" s="1">
        <f t="shared" ref="K116:P116" si="48">-K18</f>
        <v>12000</v>
      </c>
      <c r="L116" s="1">
        <f t="shared" si="48"/>
        <v>12000</v>
      </c>
      <c r="M116" s="1">
        <f t="shared" si="48"/>
        <v>12000</v>
      </c>
      <c r="N116" s="1">
        <f t="shared" si="48"/>
        <v>12000</v>
      </c>
      <c r="O116" s="1">
        <f t="shared" si="48"/>
        <v>12000</v>
      </c>
      <c r="P116" s="1">
        <f t="shared" si="48"/>
        <v>0</v>
      </c>
    </row>
    <row r="117" spans="10:16" x14ac:dyDescent="0.2">
      <c r="J117" s="1" t="s">
        <v>46</v>
      </c>
      <c r="K117" s="1">
        <f t="shared" ref="K117:P117" si="49">+K33</f>
        <v>-60000</v>
      </c>
      <c r="L117" s="1">
        <f t="shared" si="49"/>
        <v>0</v>
      </c>
      <c r="M117" s="1">
        <f t="shared" si="49"/>
        <v>0</v>
      </c>
      <c r="N117" s="1">
        <f t="shared" si="49"/>
        <v>0</v>
      </c>
      <c r="O117" s="1">
        <f t="shared" si="49"/>
        <v>0</v>
      </c>
      <c r="P117" s="1">
        <f t="shared" si="49"/>
        <v>0</v>
      </c>
    </row>
    <row r="118" spans="10:16" x14ac:dyDescent="0.2">
      <c r="J118" s="1" t="s">
        <v>77</v>
      </c>
      <c r="K118" s="1">
        <f>-K113</f>
        <v>-11250152.670000002</v>
      </c>
      <c r="L118" s="1">
        <f>-L113+K113</f>
        <v>-112501.52670000121</v>
      </c>
      <c r="M118" s="1">
        <f t="shared" ref="M118:P118" si="50">-M113+L113</f>
        <v>-113626.54196699522</v>
      </c>
      <c r="N118" s="1">
        <f t="shared" si="50"/>
        <v>-114762.8073866684</v>
      </c>
      <c r="O118" s="1">
        <f t="shared" si="50"/>
        <v>-115910.43546053767</v>
      </c>
      <c r="P118" s="1">
        <f t="shared" si="50"/>
        <v>-117069.53981514275</v>
      </c>
    </row>
    <row r="119" spans="10:16" x14ac:dyDescent="0.2">
      <c r="J119" s="4" t="s">
        <v>79</v>
      </c>
      <c r="K119" s="4">
        <f>+SUM(K115:K118)</f>
        <v>-9817232.9220000003</v>
      </c>
      <c r="L119" s="4">
        <f t="shared" ref="L119:P119" si="51">+SUM(L115:L118)</f>
        <v>1395333.0187800021</v>
      </c>
      <c r="M119" s="4">
        <f t="shared" si="51"/>
        <v>1551979.8071547588</v>
      </c>
      <c r="N119" s="4">
        <f t="shared" si="51"/>
        <v>1567485.205226308</v>
      </c>
      <c r="O119" s="4">
        <f t="shared" si="51"/>
        <v>1583145.6572785673</v>
      </c>
      <c r="P119" s="4">
        <f t="shared" si="51"/>
        <v>1597522.7138513611</v>
      </c>
    </row>
    <row r="121" spans="10:16" x14ac:dyDescent="0.2">
      <c r="J121" s="1" t="s">
        <v>81</v>
      </c>
      <c r="K121" s="1">
        <v>1</v>
      </c>
      <c r="L121" s="1">
        <f>+K121+1</f>
        <v>2</v>
      </c>
      <c r="M121" s="1">
        <f t="shared" ref="M121:P121" si="52">+L121+1</f>
        <v>3</v>
      </c>
      <c r="N121" s="1">
        <f t="shared" si="52"/>
        <v>4</v>
      </c>
      <c r="O121" s="1">
        <f t="shared" si="52"/>
        <v>5</v>
      </c>
      <c r="P121" s="1">
        <f t="shared" si="52"/>
        <v>6</v>
      </c>
    </row>
    <row r="122" spans="10:16" x14ac:dyDescent="0.2">
      <c r="J122" s="1" t="s">
        <v>86</v>
      </c>
      <c r="K122" s="1">
        <f t="shared" ref="K122:P122" si="53">1/(1+$D$111)^K121</f>
        <v>0.90909090909090906</v>
      </c>
      <c r="L122" s="1">
        <f t="shared" si="53"/>
        <v>0.82644628099173545</v>
      </c>
      <c r="M122" s="1">
        <f t="shared" si="53"/>
        <v>0.75131480090157754</v>
      </c>
      <c r="N122" s="1">
        <f t="shared" si="53"/>
        <v>0.68301345536507052</v>
      </c>
      <c r="O122" s="1">
        <f t="shared" si="53"/>
        <v>0.62092132305915493</v>
      </c>
      <c r="P122" s="1">
        <f t="shared" si="53"/>
        <v>0.56447393005377722</v>
      </c>
    </row>
    <row r="124" spans="10:16" x14ac:dyDescent="0.2">
      <c r="J124" s="1" t="s">
        <v>82</v>
      </c>
      <c r="K124" s="1">
        <f>+K122*K119</f>
        <v>-8924757.2018181812</v>
      </c>
      <c r="L124" s="1">
        <f t="shared" ref="L124:P124" si="54">+L122*L119</f>
        <v>1153167.784115704</v>
      </c>
      <c r="M124" s="1">
        <f t="shared" si="54"/>
        <v>1166025.3998157464</v>
      </c>
      <c r="N124" s="1">
        <f t="shared" si="54"/>
        <v>1070613.4862552474</v>
      </c>
      <c r="O124" s="1">
        <f t="shared" si="54"/>
        <v>983008.89611276344</v>
      </c>
      <c r="P124" s="1">
        <f t="shared" si="54"/>
        <v>901759.92463785352</v>
      </c>
    </row>
    <row r="126" spans="10:16" x14ac:dyDescent="0.2">
      <c r="J126" s="1" t="s">
        <v>83</v>
      </c>
      <c r="P126" s="1">
        <f>+P124*(1+D112)/(D111-D112)</f>
        <v>11497439.039132632</v>
      </c>
    </row>
    <row r="127" spans="10:16" x14ac:dyDescent="0.2">
      <c r="J127" s="1" t="s">
        <v>85</v>
      </c>
      <c r="K127" s="1">
        <f>+P126*P122</f>
        <v>6490004.5999729214</v>
      </c>
    </row>
    <row r="129" spans="9:16" x14ac:dyDescent="0.2">
      <c r="J129" s="1" t="s">
        <v>87</v>
      </c>
      <c r="K129" s="1">
        <f>+SUM(K124:P124)</f>
        <v>-3650181.7108808667</v>
      </c>
      <c r="L129" s="30">
        <f>+K129/K131</f>
        <v>-1.2853554089240753</v>
      </c>
    </row>
    <row r="130" spans="9:16" x14ac:dyDescent="0.2">
      <c r="J130" s="1" t="s">
        <v>85</v>
      </c>
      <c r="K130" s="1">
        <f>+K127</f>
        <v>6490004.5999729214</v>
      </c>
      <c r="L130" s="30">
        <f>+K130/K131</f>
        <v>2.2853554089240751</v>
      </c>
    </row>
    <row r="131" spans="9:16" x14ac:dyDescent="0.2">
      <c r="J131" s="4" t="s">
        <v>88</v>
      </c>
      <c r="K131" s="4">
        <f>+SUM(K129:K130)</f>
        <v>2839822.8890920547</v>
      </c>
      <c r="L131" s="31">
        <f>+SUM(L129:L130)</f>
        <v>0.99999999999999978</v>
      </c>
    </row>
    <row r="132" spans="9:16" x14ac:dyDescent="0.2">
      <c r="J132" s="4"/>
      <c r="K132" s="4"/>
    </row>
    <row r="134" spans="9:16" x14ac:dyDescent="0.2">
      <c r="I134" s="4" t="s">
        <v>105</v>
      </c>
      <c r="K134" s="46" t="s">
        <v>152</v>
      </c>
      <c r="L134" s="28" t="s">
        <v>93</v>
      </c>
    </row>
    <row r="135" spans="9:16" x14ac:dyDescent="0.2">
      <c r="K135" s="28">
        <f>+K131</f>
        <v>2839822.8890920547</v>
      </c>
      <c r="L135" s="51">
        <v>0.01</v>
      </c>
      <c r="M135" s="51">
        <v>1.4999999999999999E-2</v>
      </c>
      <c r="N135" s="51">
        <v>0.02</v>
      </c>
      <c r="O135" s="51">
        <v>2.5000000000000001E-2</v>
      </c>
      <c r="P135" s="51">
        <v>0.03</v>
      </c>
    </row>
    <row r="136" spans="9:16" x14ac:dyDescent="0.2">
      <c r="K136" s="51">
        <f>+K137+0.01</f>
        <v>0.15000000000000002</v>
      </c>
      <c r="L136" s="1">
        <f t="dataTable" ref="L136:P147" dt2D="1" dtr="1" r1="D112" r2="D111"/>
        <v>-1933126.8842627341</v>
      </c>
      <c r="M136" s="1">
        <v>-1842286.4926026571</v>
      </c>
      <c r="N136" s="1">
        <v>-1744458.3785071899</v>
      </c>
      <c r="O136" s="1">
        <v>-1638804.0152840852</v>
      </c>
      <c r="P136" s="1">
        <v>-1524345.1217923881</v>
      </c>
    </row>
    <row r="137" spans="9:16" x14ac:dyDescent="0.2">
      <c r="K137" s="51">
        <f>+K138+0.01</f>
        <v>0.14000000000000001</v>
      </c>
      <c r="L137" s="1">
        <v>-1436154.539342084</v>
      </c>
      <c r="M137" s="1">
        <v>-1319846.3443009946</v>
      </c>
      <c r="N137" s="1">
        <v>-1193845.7996731484</v>
      </c>
      <c r="O137" s="1">
        <v>-1056888.6859472287</v>
      </c>
      <c r="P137" s="1">
        <v>-907480.92551895184</v>
      </c>
    </row>
    <row r="138" spans="9:16" x14ac:dyDescent="0.2">
      <c r="K138" s="51">
        <f>+K139+0.01</f>
        <v>0.13</v>
      </c>
      <c r="L138" s="1">
        <v>-829481.67949733324</v>
      </c>
      <c r="M138" s="1">
        <v>-678586.59889984829</v>
      </c>
      <c r="N138" s="1">
        <v>-513973.78370259097</v>
      </c>
      <c r="O138" s="1">
        <v>-333683.55753416708</v>
      </c>
      <c r="P138" s="1">
        <v>-135364.30874889996</v>
      </c>
    </row>
    <row r="139" spans="9:16" x14ac:dyDescent="0.2">
      <c r="K139" s="51">
        <f>+K140+0.01</f>
        <v>0.12</v>
      </c>
      <c r="L139" s="1">
        <v>-79575.627406467218</v>
      </c>
      <c r="M139" s="1">
        <v>119233.72583482554</v>
      </c>
      <c r="N139" s="1">
        <v>337924.01440024935</v>
      </c>
      <c r="O139" s="1">
        <v>579634.33334098011</v>
      </c>
      <c r="P139" s="1">
        <v>848201.35438623652</v>
      </c>
    </row>
    <row r="140" spans="9:16" x14ac:dyDescent="0.2">
      <c r="K140" s="51">
        <f>+K141+0.01</f>
        <v>0.11</v>
      </c>
      <c r="L140" s="1">
        <v>861131.48698782362</v>
      </c>
      <c r="M140" s="19">
        <v>1127903.7507659709</v>
      </c>
      <c r="N140" s="20">
        <v>1424317.3771861354</v>
      </c>
      <c r="O140" s="21">
        <v>1755603.1949498486</v>
      </c>
      <c r="P140" s="1">
        <v>2128299.7399340253</v>
      </c>
    </row>
    <row r="141" spans="9:16" x14ac:dyDescent="0.2">
      <c r="K141" s="51">
        <v>0.1</v>
      </c>
      <c r="L141" s="1">
        <v>2062153.492581137</v>
      </c>
      <c r="M141" s="26">
        <v>2428115.5615274501</v>
      </c>
      <c r="N141" s="8">
        <v>2839822.8890920547</v>
      </c>
      <c r="O141" s="27">
        <v>3306424.5269986033</v>
      </c>
      <c r="P141" s="1">
        <v>3839683.5417489461</v>
      </c>
    </row>
    <row r="142" spans="9:16" x14ac:dyDescent="0.2">
      <c r="K142" s="51">
        <f>+K141-0.01</f>
        <v>9.0000000000000011E-2</v>
      </c>
      <c r="L142" s="1">
        <v>3628815.8697009785</v>
      </c>
      <c r="M142" s="22">
        <v>4144726.3120497111</v>
      </c>
      <c r="N142" s="15">
        <v>4734338.2461625515</v>
      </c>
      <c r="O142" s="23">
        <v>5414659.7086004419</v>
      </c>
      <c r="P142" s="1">
        <v>6208368.0814446481</v>
      </c>
    </row>
    <row r="143" spans="9:16" x14ac:dyDescent="0.2">
      <c r="K143" s="51">
        <f>+K142-0.01</f>
        <v>8.0000000000000016E-2</v>
      </c>
      <c r="L143" s="1">
        <v>5728035.7901463062</v>
      </c>
      <c r="M143" s="1">
        <v>6480947.9982489944</v>
      </c>
      <c r="N143" s="1">
        <v>7359345.5743687972</v>
      </c>
      <c r="O143" s="1">
        <v>8397451.8006922007</v>
      </c>
      <c r="P143" s="1">
        <v>9643179.272280287</v>
      </c>
    </row>
    <row r="144" spans="9:16" x14ac:dyDescent="0.2">
      <c r="K144" s="51">
        <f>+K143-0.01</f>
        <v>7.0000000000000021E-2</v>
      </c>
      <c r="L144" s="1">
        <v>8639922.8160932958</v>
      </c>
      <c r="M144" s="1">
        <v>9789879.684905909</v>
      </c>
      <c r="N144" s="1">
        <v>11169827.927481059</v>
      </c>
      <c r="O144" s="1">
        <v>12856431.335072897</v>
      </c>
      <c r="P144" s="1">
        <v>14964685.594562702</v>
      </c>
    </row>
    <row r="145" spans="2:17" x14ac:dyDescent="0.2">
      <c r="K145" s="51">
        <f>+K144-0.01</f>
        <v>6.0000000000000019E-2</v>
      </c>
      <c r="L145" s="1">
        <v>12871358.102429584</v>
      </c>
      <c r="M145" s="1">
        <v>14741480.407288834</v>
      </c>
      <c r="N145" s="1">
        <v>17079133.288362905</v>
      </c>
      <c r="O145" s="1">
        <v>20084686.992600989</v>
      </c>
      <c r="P145" s="1">
        <v>24092091.9315851</v>
      </c>
    </row>
    <row r="146" spans="2:17" x14ac:dyDescent="0.2">
      <c r="K146" s="51">
        <f>+K145-0.01</f>
        <v>5.0000000000000017E-2</v>
      </c>
      <c r="L146" s="1">
        <v>19440027.793172095</v>
      </c>
      <c r="M146" s="1">
        <v>22775879.381150838</v>
      </c>
      <c r="N146" s="1">
        <v>27223681.498455837</v>
      </c>
      <c r="O146" s="1">
        <v>33450604.462682825</v>
      </c>
      <c r="P146" s="1">
        <v>42790988.909023315</v>
      </c>
    </row>
    <row r="147" spans="2:17" x14ac:dyDescent="0.2">
      <c r="K147" s="51">
        <f>+K146-0.01</f>
        <v>4.0000000000000015E-2</v>
      </c>
      <c r="L147" s="1">
        <v>30726658.275252178</v>
      </c>
      <c r="M147" s="1">
        <v>37644793.55963248</v>
      </c>
      <c r="N147" s="1">
        <v>48021996.486202933</v>
      </c>
      <c r="O147" s="1">
        <v>65317334.697153695</v>
      </c>
      <c r="P147" s="1">
        <v>99908011.119055152</v>
      </c>
    </row>
    <row r="148" spans="2:17" x14ac:dyDescent="0.2">
      <c r="K148" s="29" t="s">
        <v>80</v>
      </c>
    </row>
    <row r="150" spans="2:17" x14ac:dyDescent="0.2">
      <c r="B150" s="35"/>
      <c r="C150" s="35"/>
      <c r="D150" s="35"/>
      <c r="E150" s="35"/>
      <c r="F150" s="35"/>
      <c r="G150" s="35"/>
      <c r="I150" s="28" t="s">
        <v>172</v>
      </c>
      <c r="J150" s="35"/>
      <c r="K150" s="35"/>
      <c r="L150" s="35"/>
      <c r="M150" s="35"/>
      <c r="N150" s="35"/>
      <c r="O150" s="35"/>
      <c r="P150" s="35"/>
    </row>
    <row r="151" spans="2:17" x14ac:dyDescent="0.2">
      <c r="C151" s="1" t="s">
        <v>166</v>
      </c>
      <c r="D151" s="39">
        <v>8.6999999999999993</v>
      </c>
      <c r="J151" s="1" t="s">
        <v>103</v>
      </c>
      <c r="K151" s="25">
        <f>+D152</f>
        <v>44197</v>
      </c>
      <c r="L151" s="25">
        <f>+D152+365.25</f>
        <v>44562.25</v>
      </c>
      <c r="M151" s="25">
        <f t="shared" ref="M151:P151" si="55">+L151+365.25</f>
        <v>44927.5</v>
      </c>
      <c r="N151" s="25">
        <f t="shared" si="55"/>
        <v>45292.75</v>
      </c>
      <c r="O151" s="25">
        <f t="shared" si="55"/>
        <v>45658</v>
      </c>
      <c r="P151" s="25">
        <f t="shared" si="55"/>
        <v>46023.25</v>
      </c>
    </row>
    <row r="152" spans="2:17" x14ac:dyDescent="0.2">
      <c r="C152" s="1" t="s">
        <v>150</v>
      </c>
      <c r="D152" s="33">
        <v>44197</v>
      </c>
      <c r="J152" s="1" t="s">
        <v>104</v>
      </c>
      <c r="K152" s="1">
        <f>-K35+K32</f>
        <v>-12062000</v>
      </c>
    </row>
    <row r="153" spans="2:17" x14ac:dyDescent="0.2">
      <c r="C153" s="1" t="s">
        <v>157</v>
      </c>
      <c r="D153" s="32">
        <v>0.6</v>
      </c>
      <c r="J153" s="1" t="s">
        <v>167</v>
      </c>
      <c r="K153" s="1">
        <f t="shared" ref="K153:P154" si="56">-K69</f>
        <v>0</v>
      </c>
      <c r="L153" s="1">
        <f t="shared" si="56"/>
        <v>1584000</v>
      </c>
      <c r="M153" s="1">
        <f t="shared" si="56"/>
        <v>1584000</v>
      </c>
      <c r="N153" s="1">
        <f t="shared" si="56"/>
        <v>1584000</v>
      </c>
      <c r="O153" s="1">
        <f t="shared" si="56"/>
        <v>1584000</v>
      </c>
      <c r="P153" s="1">
        <f t="shared" si="56"/>
        <v>1584000</v>
      </c>
    </row>
    <row r="154" spans="2:17" x14ac:dyDescent="0.2">
      <c r="J154" s="1" t="s">
        <v>168</v>
      </c>
      <c r="K154" s="1">
        <f t="shared" si="56"/>
        <v>0</v>
      </c>
      <c r="L154" s="1">
        <f t="shared" si="56"/>
        <v>0</v>
      </c>
      <c r="M154" s="1">
        <f t="shared" si="56"/>
        <v>0</v>
      </c>
      <c r="N154" s="1">
        <f t="shared" si="56"/>
        <v>0</v>
      </c>
      <c r="O154" s="1">
        <f t="shared" si="56"/>
        <v>0</v>
      </c>
      <c r="P154" s="1">
        <f t="shared" si="56"/>
        <v>0</v>
      </c>
    </row>
    <row r="155" spans="2:17" x14ac:dyDescent="0.2">
      <c r="J155" s="1" t="s">
        <v>169</v>
      </c>
      <c r="P155" s="1">
        <f>+D151*SUM(P15:P17)</f>
        <v>16951082.5078393</v>
      </c>
    </row>
    <row r="156" spans="2:17" x14ac:dyDescent="0.2">
      <c r="C156" s="30"/>
      <c r="J156" s="34" t="s">
        <v>162</v>
      </c>
      <c r="K156" s="1">
        <f>+SUM(K152:K155)</f>
        <v>-12062000</v>
      </c>
      <c r="L156" s="1">
        <f t="shared" ref="L156:P156" si="57">+SUM(L152:L155)</f>
        <v>1584000</v>
      </c>
      <c r="M156" s="1">
        <f t="shared" si="57"/>
        <v>1584000</v>
      </c>
      <c r="N156" s="1">
        <f t="shared" si="57"/>
        <v>1584000</v>
      </c>
      <c r="O156" s="1">
        <f t="shared" si="57"/>
        <v>1584000</v>
      </c>
      <c r="P156" s="1">
        <f t="shared" si="57"/>
        <v>18535082.5078393</v>
      </c>
    </row>
    <row r="159" spans="2:17" x14ac:dyDescent="0.2">
      <c r="J159" s="1" t="str">
        <f>+"CF "&amp;(1-D153)&amp;" owner"</f>
        <v>CF 0.4 owner</v>
      </c>
      <c r="K159" s="1">
        <f>-$D$54</f>
        <v>-2000</v>
      </c>
      <c r="L159" s="1">
        <f>-L70*(1-$D$153)</f>
        <v>0</v>
      </c>
      <c r="M159" s="1">
        <f>-M70*(1-$D$153)</f>
        <v>0</v>
      </c>
      <c r="N159" s="1">
        <f>-N70*(1-$D$153)</f>
        <v>0</v>
      </c>
      <c r="O159" s="1">
        <f>-O70*(1-$D$153)</f>
        <v>0</v>
      </c>
      <c r="P159" s="1">
        <f>-P70*(1-$D$153)+P155*(1-$D$153)</f>
        <v>6780433.0031357203</v>
      </c>
    </row>
    <row r="160" spans="2:17" x14ac:dyDescent="0.2">
      <c r="B160"/>
      <c r="C160"/>
      <c r="D160"/>
      <c r="E160"/>
      <c r="F160"/>
      <c r="G160"/>
      <c r="J160" s="1" t="str">
        <f>+"CF "&amp;D153&amp;" owner"</f>
        <v>CF 0.6 owner</v>
      </c>
      <c r="K160" s="1">
        <f>-D55+K33</f>
        <v>-12060000</v>
      </c>
      <c r="L160" s="1">
        <f>+L153+L154*$D$153</f>
        <v>1584000</v>
      </c>
      <c r="M160" s="1">
        <f>+M153+M154*$D$153</f>
        <v>1584000</v>
      </c>
      <c r="N160" s="1">
        <f>+N153+N154*$D$153</f>
        <v>1584000</v>
      </c>
      <c r="O160" s="1">
        <f>+O153+O154*$D$153</f>
        <v>1584000</v>
      </c>
      <c r="P160" s="1">
        <f>+P153+P154*$D$153+P155*D153</f>
        <v>11754649.504703579</v>
      </c>
      <c r="Q160"/>
    </row>
    <row r="161" spans="2:17" x14ac:dyDescent="0.2">
      <c r="B161"/>
      <c r="C161"/>
      <c r="D161"/>
      <c r="E161"/>
      <c r="F161"/>
      <c r="G161"/>
      <c r="J161" s="53" t="s">
        <v>170</v>
      </c>
      <c r="K161" s="54">
        <f>+IRR(K156:P156)</f>
        <v>0.18718123673642362</v>
      </c>
      <c r="Q161"/>
    </row>
    <row r="162" spans="2:17" x14ac:dyDescent="0.2">
      <c r="B162"/>
      <c r="C162"/>
      <c r="D162"/>
      <c r="E162"/>
      <c r="F162"/>
      <c r="G162"/>
      <c r="I162"/>
      <c r="J162" s="36" t="str">
        <f>+"IRR Common stock "&amp;(1-D153)&amp;" owner"</f>
        <v>IRR Common stock 0.4 owner</v>
      </c>
      <c r="K162" s="50">
        <f>+IRR(K159:P159)</f>
        <v>4.0821266842668953</v>
      </c>
      <c r="Q162"/>
    </row>
    <row r="163" spans="2:17" x14ac:dyDescent="0.2">
      <c r="B163"/>
      <c r="C163"/>
      <c r="D163"/>
      <c r="E163"/>
      <c r="F163"/>
      <c r="G163"/>
      <c r="I163"/>
      <c r="J163" s="53" t="str">
        <f>+"IRR Preferred stock "&amp;D153&amp;" owner"</f>
        <v>IRR Preferred stock 0.6 owner</v>
      </c>
      <c r="K163" s="54">
        <f>+IRR(K160:P160)</f>
        <v>0.10598626641754549</v>
      </c>
      <c r="L163" s="17"/>
      <c r="M163"/>
      <c r="N163"/>
      <c r="O163"/>
      <c r="P163"/>
      <c r="Q163"/>
    </row>
    <row r="164" spans="2:17" x14ac:dyDescent="0.2">
      <c r="B164"/>
      <c r="C164"/>
      <c r="D164"/>
      <c r="E164"/>
      <c r="F164"/>
      <c r="G164"/>
      <c r="I164"/>
      <c r="J164" s="30"/>
      <c r="K164"/>
      <c r="L164"/>
      <c r="M164"/>
      <c r="N164"/>
      <c r="O164"/>
      <c r="P164"/>
      <c r="Q164"/>
    </row>
    <row r="165" spans="2:17" x14ac:dyDescent="0.2">
      <c r="B165"/>
      <c r="C165"/>
      <c r="D165"/>
      <c r="E165"/>
      <c r="F165"/>
      <c r="G165"/>
      <c r="I165"/>
      <c r="J165"/>
      <c r="K165"/>
      <c r="L165"/>
      <c r="M165"/>
      <c r="N165"/>
      <c r="O165"/>
      <c r="P165"/>
      <c r="Q165"/>
    </row>
    <row r="166" spans="2:17" x14ac:dyDescent="0.2">
      <c r="B166"/>
      <c r="C166"/>
      <c r="D166"/>
      <c r="E166"/>
      <c r="F166"/>
      <c r="G166"/>
      <c r="I166"/>
      <c r="J166"/>
      <c r="K166"/>
      <c r="L166"/>
      <c r="M166"/>
      <c r="N166"/>
      <c r="O166"/>
      <c r="P166"/>
      <c r="Q166"/>
    </row>
    <row r="167" spans="2:17" x14ac:dyDescent="0.2">
      <c r="B167"/>
      <c r="C167"/>
      <c r="D167"/>
      <c r="E167"/>
      <c r="F167"/>
      <c r="G167"/>
      <c r="I167"/>
      <c r="J167"/>
      <c r="K167"/>
      <c r="L167"/>
      <c r="M167"/>
      <c r="N167"/>
      <c r="O167"/>
      <c r="P167"/>
      <c r="Q167"/>
    </row>
    <row r="168" spans="2:17" x14ac:dyDescent="0.2">
      <c r="B168"/>
      <c r="C168"/>
      <c r="D168"/>
      <c r="E168"/>
      <c r="F168"/>
      <c r="G168"/>
      <c r="I168"/>
      <c r="J168"/>
      <c r="K168"/>
      <c r="L168"/>
      <c r="M168"/>
      <c r="N168"/>
      <c r="O168"/>
      <c r="P168"/>
      <c r="Q168"/>
    </row>
    <row r="169" spans="2:17" x14ac:dyDescent="0.2">
      <c r="B169"/>
      <c r="C169"/>
      <c r="D169"/>
      <c r="E169"/>
      <c r="F169"/>
      <c r="G169"/>
      <c r="I169"/>
      <c r="J169"/>
      <c r="K169"/>
      <c r="L169"/>
      <c r="M169"/>
      <c r="N169"/>
      <c r="O169"/>
      <c r="P169"/>
      <c r="Q169"/>
    </row>
    <row r="170" spans="2:17" x14ac:dyDescent="0.2">
      <c r="B170"/>
      <c r="C170"/>
      <c r="D170"/>
      <c r="E170"/>
      <c r="F170"/>
      <c r="G170"/>
      <c r="I170"/>
      <c r="J170"/>
      <c r="K170"/>
      <c r="L170"/>
      <c r="M170"/>
      <c r="N170"/>
      <c r="O170"/>
      <c r="P170"/>
      <c r="Q170"/>
    </row>
    <row r="171" spans="2:17" x14ac:dyDescent="0.2">
      <c r="B171"/>
      <c r="C171"/>
      <c r="D171"/>
      <c r="E171"/>
      <c r="F171"/>
      <c r="G171"/>
      <c r="I171"/>
      <c r="J171"/>
      <c r="K171"/>
      <c r="L171"/>
      <c r="M171"/>
      <c r="N171"/>
      <c r="O171"/>
      <c r="P171"/>
      <c r="Q171"/>
    </row>
    <row r="172" spans="2:17" x14ac:dyDescent="0.2">
      <c r="B172"/>
      <c r="C172"/>
      <c r="D172"/>
      <c r="E172"/>
      <c r="F172"/>
      <c r="G172"/>
      <c r="I172"/>
      <c r="J172"/>
      <c r="K172"/>
      <c r="L172"/>
      <c r="M172"/>
      <c r="N172"/>
      <c r="O172"/>
      <c r="P172"/>
      <c r="Q172"/>
    </row>
    <row r="173" spans="2:17" x14ac:dyDescent="0.2">
      <c r="B173"/>
      <c r="C173"/>
      <c r="D173"/>
      <c r="E173"/>
      <c r="F173"/>
      <c r="G173"/>
      <c r="I173"/>
      <c r="J173"/>
      <c r="K173"/>
      <c r="L173"/>
      <c r="M173"/>
      <c r="N173"/>
      <c r="O173"/>
      <c r="P173"/>
      <c r="Q173"/>
    </row>
    <row r="174" spans="2:17" x14ac:dyDescent="0.2">
      <c r="B174"/>
      <c r="C174"/>
      <c r="D174"/>
      <c r="E174"/>
      <c r="F174"/>
      <c r="G174"/>
      <c r="I174"/>
      <c r="J174"/>
      <c r="K174"/>
      <c r="L174"/>
      <c r="M174"/>
      <c r="N174"/>
      <c r="O174"/>
      <c r="P174"/>
      <c r="Q174"/>
    </row>
    <row r="175" spans="2:17" x14ac:dyDescent="0.2">
      <c r="B175"/>
      <c r="C175"/>
      <c r="D175"/>
      <c r="E175"/>
      <c r="F175"/>
      <c r="G175"/>
      <c r="I175"/>
      <c r="J175"/>
      <c r="K175"/>
      <c r="L175"/>
      <c r="M175"/>
      <c r="N175"/>
      <c r="O175"/>
      <c r="P175"/>
      <c r="Q175"/>
    </row>
    <row r="176" spans="2:17" x14ac:dyDescent="0.2">
      <c r="B176"/>
      <c r="C176"/>
      <c r="D176"/>
      <c r="E176"/>
      <c r="F176"/>
      <c r="G176"/>
      <c r="I176"/>
      <c r="J176"/>
      <c r="K176"/>
      <c r="L176"/>
      <c r="M176"/>
      <c r="N176"/>
      <c r="O176"/>
      <c r="P176"/>
      <c r="Q176"/>
    </row>
    <row r="177" spans="2:17" x14ac:dyDescent="0.2">
      <c r="B177"/>
      <c r="C177"/>
      <c r="D177"/>
      <c r="E177"/>
      <c r="F177"/>
      <c r="G177"/>
      <c r="I177"/>
      <c r="J177"/>
      <c r="K177"/>
      <c r="L177"/>
      <c r="M177"/>
      <c r="N177"/>
      <c r="O177"/>
      <c r="P177"/>
      <c r="Q177"/>
    </row>
    <row r="178" spans="2:17" x14ac:dyDescent="0.2">
      <c r="B178"/>
      <c r="C178"/>
      <c r="D178"/>
      <c r="E178"/>
      <c r="F178"/>
      <c r="G178"/>
      <c r="I178"/>
      <c r="J178"/>
      <c r="K178"/>
      <c r="L178"/>
      <c r="M178"/>
      <c r="N178"/>
      <c r="O178"/>
      <c r="P178"/>
      <c r="Q178"/>
    </row>
    <row r="179" spans="2:17" x14ac:dyDescent="0.2">
      <c r="B179"/>
      <c r="C179"/>
      <c r="D179"/>
      <c r="E179"/>
      <c r="F179"/>
      <c r="G179"/>
      <c r="I179"/>
      <c r="J179"/>
      <c r="K179"/>
      <c r="L179"/>
      <c r="M179"/>
      <c r="N179"/>
      <c r="O179"/>
      <c r="P179"/>
      <c r="Q179"/>
    </row>
    <row r="180" spans="2:17" x14ac:dyDescent="0.2">
      <c r="B180"/>
      <c r="C180"/>
      <c r="D180"/>
      <c r="E180"/>
      <c r="F180"/>
      <c r="G180"/>
      <c r="I180"/>
      <c r="J180"/>
      <c r="K180"/>
      <c r="L180"/>
      <c r="M180"/>
      <c r="N180"/>
      <c r="O180"/>
      <c r="P180"/>
      <c r="Q180"/>
    </row>
    <row r="181" spans="2:17" x14ac:dyDescent="0.2">
      <c r="B181"/>
      <c r="C181"/>
      <c r="D181"/>
      <c r="E181"/>
      <c r="F181"/>
      <c r="G181"/>
      <c r="I181"/>
      <c r="J181"/>
      <c r="K181"/>
      <c r="L181"/>
      <c r="M181"/>
      <c r="N181"/>
      <c r="O181"/>
      <c r="P181"/>
      <c r="Q181"/>
    </row>
    <row r="182" spans="2:17" x14ac:dyDescent="0.2">
      <c r="B182"/>
      <c r="C182"/>
      <c r="D182"/>
      <c r="E182"/>
      <c r="F182"/>
      <c r="G182"/>
      <c r="I182"/>
      <c r="J182"/>
      <c r="K182"/>
      <c r="L182"/>
      <c r="M182"/>
      <c r="N182"/>
      <c r="O182"/>
      <c r="P182"/>
      <c r="Q182"/>
    </row>
    <row r="183" spans="2:17" x14ac:dyDescent="0.2">
      <c r="B183"/>
      <c r="C183"/>
      <c r="D183"/>
      <c r="E183"/>
      <c r="F183"/>
      <c r="G183"/>
      <c r="I183"/>
      <c r="J183"/>
      <c r="K183"/>
      <c r="L183"/>
      <c r="M183"/>
      <c r="N183"/>
      <c r="O183"/>
      <c r="P183"/>
      <c r="Q183"/>
    </row>
    <row r="184" spans="2:17" x14ac:dyDescent="0.2">
      <c r="B184"/>
      <c r="C184"/>
      <c r="D184"/>
      <c r="E184"/>
      <c r="F184"/>
      <c r="G184"/>
      <c r="I184"/>
      <c r="J184"/>
      <c r="K184"/>
      <c r="L184"/>
      <c r="M184"/>
      <c r="N184"/>
      <c r="O184"/>
      <c r="P184"/>
      <c r="Q184"/>
    </row>
    <row r="185" spans="2:17" x14ac:dyDescent="0.2">
      <c r="B185"/>
      <c r="C185"/>
      <c r="D185"/>
      <c r="E185"/>
      <c r="F185"/>
      <c r="G185"/>
      <c r="I185"/>
      <c r="J185"/>
      <c r="K185"/>
      <c r="L185"/>
      <c r="M185"/>
      <c r="N185"/>
      <c r="O185"/>
      <c r="P185"/>
      <c r="Q185"/>
    </row>
    <row r="186" spans="2:17" x14ac:dyDescent="0.2">
      <c r="B186"/>
      <c r="C186"/>
      <c r="D186"/>
      <c r="E186"/>
      <c r="F186"/>
      <c r="G186"/>
      <c r="I186"/>
      <c r="J186"/>
      <c r="K186"/>
      <c r="L186"/>
      <c r="M186"/>
      <c r="N186"/>
      <c r="O186"/>
      <c r="P186"/>
      <c r="Q186"/>
    </row>
    <row r="187" spans="2:17" x14ac:dyDescent="0.2">
      <c r="B187"/>
      <c r="C187"/>
      <c r="D187"/>
      <c r="E187"/>
      <c r="F187"/>
      <c r="G187"/>
      <c r="I187"/>
      <c r="J187"/>
      <c r="K187"/>
      <c r="L187"/>
      <c r="M187"/>
      <c r="N187"/>
      <c r="O187"/>
      <c r="P187"/>
      <c r="Q187"/>
    </row>
    <row r="188" spans="2:17" x14ac:dyDescent="0.2">
      <c r="B188"/>
      <c r="C188"/>
      <c r="D188"/>
      <c r="E188"/>
      <c r="F188"/>
      <c r="G188"/>
      <c r="I188"/>
      <c r="J188"/>
      <c r="K188"/>
      <c r="L188"/>
      <c r="M188"/>
      <c r="N188"/>
      <c r="O188"/>
      <c r="P188"/>
      <c r="Q188"/>
    </row>
    <row r="189" spans="2:17" x14ac:dyDescent="0.2">
      <c r="B189"/>
      <c r="C189"/>
      <c r="D189"/>
      <c r="E189"/>
      <c r="F189"/>
      <c r="G189"/>
      <c r="I189"/>
      <c r="J189"/>
      <c r="K189"/>
      <c r="L189"/>
      <c r="M189"/>
      <c r="N189"/>
      <c r="O189"/>
      <c r="P189"/>
      <c r="Q189"/>
    </row>
    <row r="190" spans="2:17" x14ac:dyDescent="0.2">
      <c r="B190"/>
      <c r="C190"/>
      <c r="D190"/>
      <c r="E190"/>
      <c r="F190"/>
      <c r="G190"/>
      <c r="I190"/>
      <c r="J190"/>
      <c r="K190"/>
      <c r="L190"/>
      <c r="M190"/>
      <c r="N190"/>
      <c r="O190"/>
      <c r="P190"/>
      <c r="Q190"/>
    </row>
    <row r="191" spans="2:17" x14ac:dyDescent="0.2">
      <c r="B191"/>
      <c r="C191"/>
      <c r="D191"/>
      <c r="E191"/>
      <c r="F191"/>
      <c r="G191"/>
      <c r="I191"/>
      <c r="J191"/>
      <c r="K191"/>
      <c r="L191"/>
      <c r="M191"/>
      <c r="N191"/>
      <c r="O191"/>
      <c r="P191"/>
      <c r="Q191"/>
    </row>
    <row r="192" spans="2:17" x14ac:dyDescent="0.2">
      <c r="B192"/>
      <c r="C192"/>
      <c r="D192"/>
      <c r="E192"/>
      <c r="F192"/>
      <c r="G192"/>
      <c r="I192"/>
      <c r="J192"/>
      <c r="K192"/>
      <c r="L192"/>
      <c r="M192"/>
      <c r="N192"/>
      <c r="O192"/>
      <c r="P192"/>
      <c r="Q192"/>
    </row>
    <row r="193" spans="2:17" x14ac:dyDescent="0.2">
      <c r="B193"/>
      <c r="C193"/>
      <c r="D193"/>
      <c r="E193"/>
      <c r="F193"/>
      <c r="G193"/>
      <c r="I193"/>
      <c r="J193"/>
      <c r="K193"/>
      <c r="L193"/>
      <c r="M193"/>
      <c r="N193"/>
      <c r="O193"/>
      <c r="P193"/>
      <c r="Q193"/>
    </row>
    <row r="194" spans="2:17" x14ac:dyDescent="0.2">
      <c r="B194"/>
      <c r="C194"/>
      <c r="D194"/>
      <c r="E194"/>
      <c r="F194"/>
      <c r="G194"/>
      <c r="I194"/>
      <c r="J194"/>
      <c r="K194"/>
      <c r="L194"/>
      <c r="M194"/>
      <c r="N194"/>
      <c r="O194"/>
      <c r="P194"/>
      <c r="Q194"/>
    </row>
    <row r="195" spans="2:17" x14ac:dyDescent="0.2">
      <c r="B195"/>
      <c r="C195"/>
      <c r="D195"/>
      <c r="E195"/>
      <c r="F195"/>
      <c r="G195"/>
      <c r="I195"/>
      <c r="J195"/>
      <c r="K195"/>
      <c r="L195"/>
      <c r="M195"/>
      <c r="N195"/>
      <c r="O195"/>
      <c r="P195"/>
      <c r="Q195"/>
    </row>
    <row r="196" spans="2:17" x14ac:dyDescent="0.2">
      <c r="B196"/>
      <c r="C196"/>
      <c r="D196"/>
      <c r="E196"/>
      <c r="F196"/>
      <c r="G196"/>
      <c r="I196"/>
      <c r="J196"/>
      <c r="K196"/>
      <c r="L196"/>
      <c r="M196"/>
      <c r="N196"/>
      <c r="O196"/>
      <c r="P196"/>
      <c r="Q196"/>
    </row>
    <row r="197" spans="2:17" x14ac:dyDescent="0.2">
      <c r="B197"/>
      <c r="C197"/>
      <c r="D197"/>
      <c r="E197"/>
      <c r="F197"/>
      <c r="G197"/>
      <c r="I197"/>
      <c r="J197"/>
      <c r="K197"/>
      <c r="L197"/>
      <c r="M197"/>
      <c r="N197"/>
      <c r="O197"/>
      <c r="P197"/>
      <c r="Q197"/>
    </row>
    <row r="198" spans="2:17" x14ac:dyDescent="0.2">
      <c r="B198"/>
      <c r="C198"/>
      <c r="D198"/>
      <c r="E198"/>
      <c r="F198"/>
      <c r="G198"/>
      <c r="I198"/>
      <c r="J198"/>
      <c r="K198"/>
      <c r="L198"/>
      <c r="M198"/>
      <c r="N198"/>
      <c r="O198"/>
      <c r="P198"/>
      <c r="Q198"/>
    </row>
    <row r="199" spans="2:17" x14ac:dyDescent="0.2">
      <c r="B199"/>
      <c r="C199"/>
      <c r="D199"/>
      <c r="E199"/>
      <c r="F199"/>
      <c r="G199"/>
      <c r="I199"/>
      <c r="J199"/>
      <c r="K199"/>
      <c r="L199"/>
      <c r="M199"/>
      <c r="N199"/>
      <c r="O199"/>
      <c r="P199"/>
      <c r="Q199"/>
    </row>
    <row r="200" spans="2:17" x14ac:dyDescent="0.2">
      <c r="B200"/>
      <c r="C200"/>
      <c r="D200"/>
      <c r="E200"/>
      <c r="F200"/>
      <c r="G200"/>
      <c r="I200"/>
      <c r="J200"/>
      <c r="K200"/>
      <c r="L200"/>
      <c r="M200"/>
      <c r="N200"/>
      <c r="O200"/>
      <c r="P200"/>
      <c r="Q200"/>
    </row>
    <row r="201" spans="2:17" x14ac:dyDescent="0.2">
      <c r="B201"/>
      <c r="C201"/>
      <c r="D201"/>
      <c r="E201"/>
      <c r="F201"/>
      <c r="G201"/>
      <c r="I201"/>
      <c r="J201"/>
      <c r="K201"/>
      <c r="L201"/>
      <c r="M201"/>
      <c r="N201"/>
      <c r="O201"/>
      <c r="P201"/>
      <c r="Q201"/>
    </row>
    <row r="202" spans="2:17" x14ac:dyDescent="0.2">
      <c r="B202"/>
      <c r="C202"/>
      <c r="D202"/>
      <c r="E202"/>
      <c r="F202"/>
      <c r="G202"/>
      <c r="I202"/>
      <c r="J202"/>
      <c r="K202"/>
      <c r="L202"/>
      <c r="M202"/>
      <c r="N202"/>
      <c r="O202"/>
      <c r="P202"/>
      <c r="Q202"/>
    </row>
    <row r="203" spans="2:17" x14ac:dyDescent="0.2">
      <c r="B203"/>
      <c r="C203"/>
      <c r="D203"/>
      <c r="E203"/>
      <c r="F203"/>
      <c r="G203"/>
      <c r="I203"/>
      <c r="J203"/>
      <c r="K203"/>
      <c r="L203"/>
      <c r="M203"/>
      <c r="N203"/>
      <c r="O203"/>
      <c r="P203"/>
      <c r="Q203"/>
    </row>
    <row r="204" spans="2:17" x14ac:dyDescent="0.2">
      <c r="B204"/>
      <c r="C204"/>
      <c r="D204"/>
      <c r="E204"/>
      <c r="F204"/>
      <c r="G204"/>
      <c r="I204"/>
      <c r="J204"/>
      <c r="K204"/>
      <c r="L204"/>
      <c r="M204"/>
      <c r="N204"/>
      <c r="O204"/>
      <c r="P204"/>
      <c r="Q204"/>
    </row>
    <row r="205" spans="2:17" x14ac:dyDescent="0.2">
      <c r="B205"/>
      <c r="C205"/>
      <c r="D205"/>
      <c r="E205"/>
      <c r="F205"/>
      <c r="G205"/>
      <c r="I205"/>
      <c r="J205"/>
      <c r="K205"/>
      <c r="L205"/>
      <c r="M205"/>
      <c r="N205"/>
      <c r="O205"/>
      <c r="P205"/>
      <c r="Q205"/>
    </row>
    <row r="206" spans="2:17" x14ac:dyDescent="0.2">
      <c r="B206"/>
      <c r="C206"/>
      <c r="D206"/>
      <c r="E206"/>
      <c r="F206"/>
      <c r="G206"/>
      <c r="I206"/>
      <c r="J206"/>
      <c r="K206"/>
      <c r="L206"/>
      <c r="M206"/>
      <c r="N206"/>
      <c r="O206"/>
      <c r="P206"/>
      <c r="Q206"/>
    </row>
    <row r="207" spans="2:17" x14ac:dyDescent="0.2">
      <c r="B207"/>
      <c r="C207"/>
      <c r="D207"/>
      <c r="E207"/>
      <c r="F207"/>
      <c r="G207"/>
      <c r="I207"/>
      <c r="J207"/>
      <c r="K207"/>
      <c r="L207"/>
      <c r="M207"/>
      <c r="N207"/>
      <c r="O207"/>
      <c r="P207"/>
      <c r="Q207"/>
    </row>
    <row r="208" spans="2:17" x14ac:dyDescent="0.2">
      <c r="B208"/>
      <c r="C208"/>
      <c r="D208"/>
      <c r="E208"/>
      <c r="F208"/>
      <c r="G208"/>
      <c r="I208"/>
      <c r="J208"/>
      <c r="K208"/>
      <c r="L208"/>
      <c r="M208"/>
      <c r="N208"/>
      <c r="O208"/>
      <c r="P208"/>
      <c r="Q208"/>
    </row>
    <row r="209" spans="2:17" x14ac:dyDescent="0.2">
      <c r="B209"/>
      <c r="C209"/>
      <c r="D209"/>
      <c r="E209"/>
      <c r="F209"/>
      <c r="G209"/>
      <c r="I209"/>
      <c r="J209"/>
      <c r="K209"/>
      <c r="L209"/>
      <c r="M209"/>
      <c r="N209"/>
      <c r="O209"/>
      <c r="P209"/>
      <c r="Q209"/>
    </row>
    <row r="210" spans="2:17" x14ac:dyDescent="0.2">
      <c r="B210"/>
      <c r="C210"/>
      <c r="D210"/>
      <c r="E210"/>
      <c r="F210"/>
      <c r="G210"/>
      <c r="I210"/>
      <c r="J210"/>
      <c r="K210"/>
      <c r="L210"/>
      <c r="M210"/>
      <c r="N210"/>
      <c r="O210"/>
      <c r="P210"/>
      <c r="Q210"/>
    </row>
    <row r="211" spans="2:17" x14ac:dyDescent="0.2">
      <c r="B211"/>
      <c r="C211"/>
      <c r="D211"/>
      <c r="E211"/>
      <c r="F211"/>
      <c r="G211"/>
      <c r="I211"/>
      <c r="J211"/>
      <c r="K211"/>
      <c r="L211"/>
      <c r="M211"/>
      <c r="N211"/>
      <c r="O211"/>
      <c r="P211"/>
      <c r="Q211"/>
    </row>
    <row r="212" spans="2:17" x14ac:dyDescent="0.2">
      <c r="B212"/>
      <c r="C212"/>
      <c r="D212"/>
      <c r="E212"/>
      <c r="F212"/>
      <c r="G212"/>
      <c r="Q212"/>
    </row>
    <row r="213" spans="2:17" x14ac:dyDescent="0.2">
      <c r="B213"/>
      <c r="C213"/>
      <c r="D213"/>
      <c r="E213"/>
      <c r="F213"/>
      <c r="G213"/>
      <c r="Q213"/>
    </row>
    <row r="214" spans="2:17" x14ac:dyDescent="0.2">
      <c r="B214"/>
      <c r="C214"/>
      <c r="D214"/>
      <c r="E214"/>
      <c r="F214"/>
      <c r="G214"/>
      <c r="Q214"/>
    </row>
    <row r="215" spans="2:17" x14ac:dyDescent="0.2">
      <c r="B215"/>
      <c r="C215"/>
      <c r="D215"/>
      <c r="E215"/>
      <c r="F215"/>
      <c r="G215"/>
      <c r="Q215"/>
    </row>
    <row r="216" spans="2:17" x14ac:dyDescent="0.2">
      <c r="B216"/>
      <c r="C216"/>
      <c r="D216"/>
      <c r="E216"/>
      <c r="F216"/>
      <c r="G216"/>
      <c r="Q216"/>
    </row>
    <row r="217" spans="2:17" x14ac:dyDescent="0.2">
      <c r="B217"/>
      <c r="C217"/>
      <c r="D217"/>
      <c r="E217"/>
      <c r="F217"/>
      <c r="G217"/>
      <c r="Q217"/>
    </row>
    <row r="218" spans="2:17" x14ac:dyDescent="0.2">
      <c r="B218"/>
      <c r="C218"/>
      <c r="D218"/>
      <c r="E218"/>
      <c r="F218"/>
      <c r="G218"/>
      <c r="Q218"/>
    </row>
    <row r="219" spans="2:17" x14ac:dyDescent="0.2">
      <c r="B219"/>
      <c r="C219"/>
      <c r="D219"/>
      <c r="E219"/>
      <c r="F219"/>
      <c r="G219"/>
      <c r="Q219"/>
    </row>
    <row r="220" spans="2:17" x14ac:dyDescent="0.2">
      <c r="B220"/>
      <c r="C220"/>
      <c r="D220"/>
      <c r="E220"/>
      <c r="F220"/>
      <c r="G220"/>
      <c r="Q220"/>
    </row>
  </sheetData>
  <mergeCells count="5">
    <mergeCell ref="I4:P6"/>
    <mergeCell ref="F4:F6"/>
    <mergeCell ref="C4:C6"/>
    <mergeCell ref="B4:B6"/>
    <mergeCell ref="D4:D6"/>
  </mergeCells>
  <phoneticPr fontId="6" type="noConversion"/>
  <conditionalFormatting sqref="K30:P30 K42:P42 K49:P49 K33:P33 K74:P75">
    <cfRule type="cellIs" dxfId="8" priority="11" operator="lessThan">
      <formula>0</formula>
    </cfRule>
  </conditionalFormatting>
  <conditionalFormatting sqref="K62:P62">
    <cfRule type="cellIs" dxfId="7" priority="8" operator="lessThan">
      <formula>0</formula>
    </cfRule>
  </conditionalFormatting>
  <conditionalFormatting sqref="R38">
    <cfRule type="cellIs" dxfId="6" priority="6" operator="greaterThan">
      <formula>0</formula>
    </cfRule>
    <cfRule type="cellIs" dxfId="5" priority="7" operator="lessThan">
      <formula>0</formula>
    </cfRule>
  </conditionalFormatting>
  <conditionalFormatting sqref="K91:P92">
    <cfRule type="cellIs" dxfId="4" priority="5" operator="lessThan">
      <formula>0</formula>
    </cfRule>
  </conditionalFormatting>
  <conditionalFormatting sqref="K94:P94">
    <cfRule type="cellIs" dxfId="3" priority="4" operator="lessThan">
      <formula>0</formula>
    </cfRule>
  </conditionalFormatting>
  <conditionalFormatting sqref="K95:P95">
    <cfRule type="cellIs" dxfId="2" priority="3" operator="lessThan">
      <formula>0</formula>
    </cfRule>
  </conditionalFormatting>
  <conditionalFormatting sqref="K96:P96">
    <cfRule type="cellIs" dxfId="1" priority="2" operator="lessThan">
      <formula>0</formula>
    </cfRule>
  </conditionalFormatting>
  <conditionalFormatting sqref="K97:P9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Dunai</dc:creator>
  <cp:lastModifiedBy>Daniel Dunai</cp:lastModifiedBy>
  <dcterms:created xsi:type="dcterms:W3CDTF">2020-09-15T08:38:13Z</dcterms:created>
  <dcterms:modified xsi:type="dcterms:W3CDTF">2020-09-30T11:14:28Z</dcterms:modified>
</cp:coreProperties>
</file>