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defaultThemeVersion="124226"/>
  <bookViews>
    <workbookView xWindow="-15" yWindow="-15" windowWidth="12600" windowHeight="12975" activeTab="4"/>
  </bookViews>
  <sheets>
    <sheet name="Cover" sheetId="3" r:id="rId1"/>
    <sheet name="1. EBITDA cleaner" sheetId="1" r:id="rId2"/>
    <sheet name="2. FFO calculator" sheetId="2" r:id="rId3"/>
    <sheet name="3. Financials (Foreign)" sheetId="5" r:id="rId4"/>
    <sheet name="3. Financials (USD manual)" sheetId="16" r:id="rId5"/>
    <sheet name="3. Financials (USD)" sheetId="13" r:id="rId6"/>
    <sheet name="Liquidity Forecast" sheetId="4" r:id="rId7"/>
    <sheet name="R.Output_General Industries" sheetId="6" r:id="rId8"/>
    <sheet name="Refinery Input" sheetId="12" r:id="rId9"/>
    <sheet name="R.Output_Refineries" sheetId="8" r:id="rId10"/>
    <sheet name="Reference Data_General" sheetId="7" r:id="rId11"/>
    <sheet name="Reference Data_Refineries" sheetId="11" r:id="rId12"/>
    <sheet name="Reference Data_Comm. traders" sheetId="14" r:id="rId13"/>
    <sheet name="Reference Data_Comm. traders 2" sheetId="15" r:id="rId14"/>
    <sheet name="R.Output_Commodity traders" sheetId="9" r:id="rId15"/>
  </sheets>
  <externalReferences>
    <externalReference r:id="rId16"/>
  </externalReferences>
  <definedNames>
    <definedName name="_xlnm._FilterDatabase" localSheetId="12" hidden="1">'Reference Data_Comm. traders'!#REF!</definedName>
    <definedName name="_xlnm._FilterDatabase" localSheetId="10" hidden="1">'Reference Data_General'!#REF!</definedName>
    <definedName name="_xlnm._FilterDatabase" localSheetId="11" hidden="1">'Reference Data_Refineries'!#REF!</definedName>
    <definedName name="AR">'[1]BS - Base Currency'!$C$10:$N$10</definedName>
    <definedName name="Assets">'[1]BS - Base Currency'!$C$27:$O$27</definedName>
    <definedName name="AvgAssets" localSheetId="4">'[1]BS - Base Currency'!#REF!</definedName>
    <definedName name="AvgAssets" localSheetId="5">'[1]BS - Base Currency'!#REF!</definedName>
    <definedName name="AvgAssets" localSheetId="14">'[1]BS - Base Currency'!#REF!</definedName>
    <definedName name="AvgAssets" localSheetId="9">'[1]BS - Base Currency'!#REF!</definedName>
    <definedName name="AvgAssets" localSheetId="12">'[1]BS - Base Currency'!#REF!</definedName>
    <definedName name="AvgAssets" localSheetId="11">'[1]BS - Base Currency'!#REF!</definedName>
    <definedName name="AvgAssets">'[1]BS - Base Currency'!#REF!</definedName>
    <definedName name="Capitalization">'[1]BS - Base Currency'!$C$67:$N$67</definedName>
    <definedName name="Cash">'[1]BS - Base Currency'!$C$8:$N$8</definedName>
    <definedName name="_xlnm.Criteria" localSheetId="12">'Reference Data_Comm. traders'!#REF!</definedName>
    <definedName name="_xlnm.Criteria" localSheetId="10">'Reference Data_General'!#REF!</definedName>
    <definedName name="_xlnm.Criteria" localSheetId="11">'Reference Data_Refineries'!#REF!</definedName>
    <definedName name="CurrentAssets">'[1]BS - Base Currency'!$C$14:$N$14</definedName>
    <definedName name="CurrentLiabilities">'[1]BS - Base Currency'!$C$38:$N$38</definedName>
    <definedName name="EBIT">'[1]IS &amp; CFS - Base Currency'!$C$16:$N$16</definedName>
    <definedName name="EBITDA">'[1]IS &amp; CFS - Base Currency'!$C$62:$N$62</definedName>
    <definedName name="Equity">'[1]BS - Base Currency'!$C$58:$N$58</definedName>
    <definedName name="_xlnm.Extract" localSheetId="12">'Reference Data_Comm. traders'!#REF!</definedName>
    <definedName name="_xlnm.Extract" localSheetId="10">'Reference Data_General'!#REF!</definedName>
    <definedName name="_xlnm.Extract" localSheetId="11">'Reference Data_Refineries'!#REF!</definedName>
    <definedName name="FCF">'[1]IS &amp; CFS - Base Currency'!$C$63:$N$63</definedName>
    <definedName name="FFO">'[1]IS &amp; CFS - Base Currency'!$C$34:$N$34</definedName>
    <definedName name="GrossProfit">'[1]IS &amp; CFS - Base Currency'!$C$9:$N$9</definedName>
    <definedName name="IntExp">'[1]IS &amp; CFS - Base Currency'!$C$18:$N$18</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AMES_REVISION_DATE_" hidden="1">"01/01/0001 00:00:00"</definedName>
    <definedName name="IQ_NTM">6000</definedName>
    <definedName name="IQ_TODAY" hidden="1">0</definedName>
    <definedName name="IQ_WEEK">50000</definedName>
    <definedName name="IQ_YTD">3000</definedName>
    <definedName name="IQ_YTDMONTH" hidden="1">130000</definedName>
    <definedName name="NetIncome">'[1]IS &amp; CFS - Base Currency'!$C$26:$N$26</definedName>
    <definedName name="_xlnm.Print_Area" localSheetId="1">'1. EBITDA cleaner'!$A$1:$L$63</definedName>
    <definedName name="_xlnm.Print_Area" localSheetId="2">'2. FFO calculator'!$A$1:$L$23</definedName>
    <definedName name="_xlnm.Print_Area" localSheetId="3">'3. Financials (Foreign)'!$A$1:$R$86</definedName>
    <definedName name="_xlnm.Print_Area" localSheetId="4">'3. Financials (USD manual)'!$A$1:$R$86</definedName>
    <definedName name="_xlnm.Print_Area" localSheetId="0">Cover!$A$1:$H$17</definedName>
    <definedName name="_xlnm.Print_Area" localSheetId="14">'R.Output_Commodity traders'!$C$4:$I$63</definedName>
    <definedName name="_xlnm.Print_Area" localSheetId="7">'R.Output_General Industries'!$C$4:$I$69</definedName>
    <definedName name="_xlnm.Print_Area" localSheetId="9">R.Output_Refineries!$C$4:$I$56</definedName>
    <definedName name="Revenues">'[1]IS &amp; CFS - Base Currency'!$C$7:$N$7</definedName>
    <definedName name="TangAssets">'[1]BS - Base Currency'!$C$68:$N$68</definedName>
    <definedName name="TotalDebt">'[1]BS - Base Currency'!$C$66:$N$66</definedName>
  </definedNames>
  <calcPr calcId="145621"/>
</workbook>
</file>

<file path=xl/calcChain.xml><?xml version="1.0" encoding="utf-8"?>
<calcChain xmlns="http://schemas.openxmlformats.org/spreadsheetml/2006/main">
  <c r="F49" i="16" l="1"/>
  <c r="E49" i="16"/>
  <c r="E63" i="16" s="1"/>
  <c r="D49" i="16"/>
  <c r="F48" i="16"/>
  <c r="E48" i="16"/>
  <c r="D48" i="16"/>
  <c r="F47" i="16"/>
  <c r="E47" i="16"/>
  <c r="D47" i="16"/>
  <c r="F46" i="16"/>
  <c r="E46" i="16"/>
  <c r="D46" i="16"/>
  <c r="F45" i="16"/>
  <c r="E45" i="16"/>
  <c r="D45" i="16"/>
  <c r="F44" i="16"/>
  <c r="E44" i="16"/>
  <c r="D44" i="16"/>
  <c r="F43" i="16"/>
  <c r="E43" i="16"/>
  <c r="D43" i="16"/>
  <c r="F39" i="16"/>
  <c r="E39" i="16"/>
  <c r="D39" i="16"/>
  <c r="F37" i="16"/>
  <c r="E37" i="16"/>
  <c r="D37" i="16"/>
  <c r="F33" i="16"/>
  <c r="E33" i="16"/>
  <c r="D33" i="16"/>
  <c r="F32" i="16"/>
  <c r="E32" i="16"/>
  <c r="D32" i="16"/>
  <c r="F30" i="16"/>
  <c r="E30" i="16"/>
  <c r="D30" i="16"/>
  <c r="F28" i="16"/>
  <c r="E28" i="16"/>
  <c r="D28" i="16"/>
  <c r="F22" i="16"/>
  <c r="E22" i="16"/>
  <c r="D22" i="16"/>
  <c r="F20" i="16"/>
  <c r="E20" i="16"/>
  <c r="D20" i="16"/>
  <c r="F19" i="16"/>
  <c r="E19" i="16"/>
  <c r="D19" i="16"/>
  <c r="F18" i="16"/>
  <c r="E18" i="16"/>
  <c r="D18" i="16"/>
  <c r="F14" i="16"/>
  <c r="E14" i="16"/>
  <c r="D14" i="16"/>
  <c r="F13" i="16"/>
  <c r="E13" i="16"/>
  <c r="D13" i="16"/>
  <c r="F12" i="16"/>
  <c r="E12" i="16"/>
  <c r="D12" i="16"/>
  <c r="F11" i="16"/>
  <c r="E11" i="16"/>
  <c r="D11" i="16"/>
  <c r="F10" i="16"/>
  <c r="E10" i="16"/>
  <c r="D10" i="16"/>
  <c r="F72" i="16"/>
  <c r="F68" i="16"/>
  <c r="D68" i="16"/>
  <c r="F76" i="16"/>
  <c r="F55" i="16"/>
  <c r="D55" i="16"/>
  <c r="D74" i="16"/>
  <c r="F60" i="16"/>
  <c r="E54" i="16"/>
  <c r="O26" i="16"/>
  <c r="D6" i="16"/>
  <c r="D38" i="16"/>
  <c r="E68" i="16"/>
  <c r="E17" i="16"/>
  <c r="C53" i="16"/>
  <c r="K78" i="16"/>
  <c r="J78" i="16"/>
  <c r="I78" i="16"/>
  <c r="H78" i="16"/>
  <c r="G78" i="16"/>
  <c r="C78" i="16"/>
  <c r="B78" i="16"/>
  <c r="K77" i="16"/>
  <c r="J77" i="16"/>
  <c r="I77" i="16"/>
  <c r="H77" i="16"/>
  <c r="G77" i="16"/>
  <c r="C77" i="16"/>
  <c r="B77" i="16"/>
  <c r="K75" i="16"/>
  <c r="J75" i="16"/>
  <c r="I75" i="16"/>
  <c r="J74" i="16"/>
  <c r="I74" i="16"/>
  <c r="G74" i="16"/>
  <c r="E74" i="16"/>
  <c r="B74" i="16"/>
  <c r="K72" i="16"/>
  <c r="J72" i="16"/>
  <c r="I72" i="16"/>
  <c r="H72" i="16"/>
  <c r="G72" i="16"/>
  <c r="C72" i="16"/>
  <c r="B72" i="16"/>
  <c r="K71" i="16"/>
  <c r="J71" i="16"/>
  <c r="I71" i="16"/>
  <c r="H71" i="16"/>
  <c r="G71" i="16"/>
  <c r="C71" i="16"/>
  <c r="B71" i="16"/>
  <c r="J64" i="16"/>
  <c r="K63" i="16"/>
  <c r="J63" i="16"/>
  <c r="I63" i="16"/>
  <c r="H63" i="16"/>
  <c r="G63" i="16"/>
  <c r="C63" i="16"/>
  <c r="B63" i="16"/>
  <c r="K62" i="16"/>
  <c r="J62" i="16"/>
  <c r="I62" i="16"/>
  <c r="H62" i="16"/>
  <c r="G62" i="16"/>
  <c r="C62" i="16"/>
  <c r="B62" i="16"/>
  <c r="K61" i="16"/>
  <c r="J61" i="16"/>
  <c r="I61" i="16"/>
  <c r="K60" i="16"/>
  <c r="J60" i="16"/>
  <c r="I60" i="16"/>
  <c r="H60" i="16"/>
  <c r="G60" i="16"/>
  <c r="D60" i="16"/>
  <c r="C60" i="16"/>
  <c r="B60" i="16"/>
  <c r="I59" i="16"/>
  <c r="J58" i="16"/>
  <c r="J54" i="16"/>
  <c r="B54" i="16"/>
  <c r="J51" i="16"/>
  <c r="E51" i="16"/>
  <c r="B51" i="16"/>
  <c r="C42" i="16"/>
  <c r="K41" i="16"/>
  <c r="J41" i="16"/>
  <c r="I41" i="16"/>
  <c r="C41" i="16"/>
  <c r="B41" i="16"/>
  <c r="K40" i="16"/>
  <c r="K69" i="16" s="1"/>
  <c r="J40" i="16"/>
  <c r="J69" i="16" s="1"/>
  <c r="I40" i="16"/>
  <c r="I69" i="16" s="1"/>
  <c r="F38" i="16"/>
  <c r="C38" i="16"/>
  <c r="K37" i="16"/>
  <c r="K82" i="16" s="1"/>
  <c r="J37" i="16"/>
  <c r="J57" i="16" s="1"/>
  <c r="I37" i="16"/>
  <c r="I57" i="16" s="1"/>
  <c r="H56" i="16"/>
  <c r="G82" i="16"/>
  <c r="C37" i="16"/>
  <c r="C82" i="16" s="1"/>
  <c r="B37" i="16"/>
  <c r="B57" i="16" s="1"/>
  <c r="O31" i="16"/>
  <c r="K30" i="16"/>
  <c r="J30" i="16"/>
  <c r="I30" i="16"/>
  <c r="I52" i="16" s="1"/>
  <c r="H52" i="16"/>
  <c r="C30" i="16"/>
  <c r="B30" i="16"/>
  <c r="B28" i="16"/>
  <c r="C25" i="16"/>
  <c r="B25" i="16"/>
  <c r="K23" i="16"/>
  <c r="J23" i="16"/>
  <c r="C23" i="16"/>
  <c r="B23" i="16"/>
  <c r="I22" i="16"/>
  <c r="I66" i="16" s="1"/>
  <c r="C20" i="16"/>
  <c r="B20" i="16"/>
  <c r="B22" i="16" s="1"/>
  <c r="K19" i="16"/>
  <c r="K22" i="16" s="1"/>
  <c r="J19" i="16"/>
  <c r="J22" i="16" s="1"/>
  <c r="I19" i="16"/>
  <c r="C19" i="16"/>
  <c r="C22" i="16" s="1"/>
  <c r="B19" i="16"/>
  <c r="K18" i="16"/>
  <c r="J18" i="16"/>
  <c r="I18" i="16"/>
  <c r="F17" i="16"/>
  <c r="C18" i="16"/>
  <c r="B18" i="16"/>
  <c r="K17" i="16"/>
  <c r="K64" i="16" s="1"/>
  <c r="J17" i="16"/>
  <c r="J65" i="16" s="1"/>
  <c r="I17" i="16"/>
  <c r="I65" i="16" s="1"/>
  <c r="C17" i="16"/>
  <c r="B17" i="16"/>
  <c r="K15" i="16"/>
  <c r="J15" i="16"/>
  <c r="I15" i="16"/>
  <c r="C15" i="16"/>
  <c r="B15" i="16"/>
  <c r="K14" i="16"/>
  <c r="K79" i="16" s="1"/>
  <c r="J14" i="16"/>
  <c r="J81" i="16" s="1"/>
  <c r="I14" i="16"/>
  <c r="I80" i="16" s="1"/>
  <c r="H79" i="16"/>
  <c r="G79" i="16"/>
  <c r="C14" i="16"/>
  <c r="C81" i="16" s="1"/>
  <c r="B14" i="16"/>
  <c r="B80" i="16" s="1"/>
  <c r="K13" i="16"/>
  <c r="J13" i="16"/>
  <c r="I13" i="16"/>
  <c r="I55" i="16" s="1"/>
  <c r="H55" i="16"/>
  <c r="F53" i="16"/>
  <c r="C13" i="16"/>
  <c r="B13" i="16"/>
  <c r="K12" i="16"/>
  <c r="K58" i="16" s="1"/>
  <c r="J12" i="16"/>
  <c r="J59" i="16" s="1"/>
  <c r="I12" i="16"/>
  <c r="I53" i="16" s="1"/>
  <c r="H54" i="16"/>
  <c r="C12" i="16"/>
  <c r="C56" i="16" s="1"/>
  <c r="B12" i="16"/>
  <c r="B55" i="16" s="1"/>
  <c r="H75" i="16"/>
  <c r="G75" i="16"/>
  <c r="C11" i="16"/>
  <c r="C75" i="16" s="1"/>
  <c r="B11" i="16"/>
  <c r="B75" i="16" s="1"/>
  <c r="K8" i="16"/>
  <c r="J8" i="16"/>
  <c r="I8" i="16"/>
  <c r="H8" i="16"/>
  <c r="G8" i="16"/>
  <c r="C8" i="16"/>
  <c r="B8" i="16"/>
  <c r="E6" i="16"/>
  <c r="K5" i="16"/>
  <c r="J5" i="16"/>
  <c r="J6" i="16" s="1"/>
  <c r="I5" i="16"/>
  <c r="I6" i="16" s="1"/>
  <c r="H5" i="16"/>
  <c r="G6" i="16" s="1"/>
  <c r="G5" i="16"/>
  <c r="F6" i="16" s="1"/>
  <c r="C5" i="16"/>
  <c r="B5" i="16"/>
  <c r="B6" i="16" s="1"/>
  <c r="A5" i="16"/>
  <c r="K3" i="16"/>
  <c r="J3" i="16"/>
  <c r="I3" i="16"/>
  <c r="H3" i="16"/>
  <c r="G3" i="16"/>
  <c r="C3" i="16"/>
  <c r="B3" i="16"/>
  <c r="K2" i="16"/>
  <c r="J2" i="16"/>
  <c r="I2" i="16"/>
  <c r="H2" i="16"/>
  <c r="G2" i="16"/>
  <c r="C2" i="16"/>
  <c r="B2" i="16"/>
  <c r="K1" i="16"/>
  <c r="J1" i="16"/>
  <c r="I1" i="16"/>
  <c r="H1" i="16"/>
  <c r="G1" i="16"/>
  <c r="C1" i="16"/>
  <c r="B1" i="16"/>
  <c r="F41" i="5"/>
  <c r="E41" i="5"/>
  <c r="D41" i="5"/>
  <c r="F38" i="5"/>
  <c r="F66" i="5" s="1"/>
  <c r="E38" i="5"/>
  <c r="E66" i="5" s="1"/>
  <c r="D38" i="5"/>
  <c r="E23" i="5"/>
  <c r="D72" i="5"/>
  <c r="E72" i="5"/>
  <c r="F72" i="5"/>
  <c r="D44" i="5"/>
  <c r="E44" i="5"/>
  <c r="F44" i="5"/>
  <c r="D43" i="5"/>
  <c r="E43" i="5"/>
  <c r="F43" i="5"/>
  <c r="D40" i="5"/>
  <c r="E40" i="5"/>
  <c r="E69" i="5" s="1"/>
  <c r="F40" i="5"/>
  <c r="D63" i="5"/>
  <c r="D69" i="5"/>
  <c r="F68" i="5"/>
  <c r="E68" i="5"/>
  <c r="D68" i="5"/>
  <c r="D67" i="5"/>
  <c r="D66" i="5"/>
  <c r="F63" i="5"/>
  <c r="E63" i="5"/>
  <c r="F62" i="5"/>
  <c r="E62" i="5"/>
  <c r="D62" i="5"/>
  <c r="D61" i="5"/>
  <c r="F60" i="5"/>
  <c r="E60" i="5"/>
  <c r="D59" i="5"/>
  <c r="D58" i="5"/>
  <c r="F57" i="5"/>
  <c r="F56" i="5"/>
  <c r="E56" i="5"/>
  <c r="D56" i="5"/>
  <c r="F55" i="5"/>
  <c r="E55" i="5"/>
  <c r="D55" i="5"/>
  <c r="F54" i="5"/>
  <c r="E54" i="5"/>
  <c r="D54" i="5"/>
  <c r="F53" i="5"/>
  <c r="E53" i="5"/>
  <c r="D53" i="5"/>
  <c r="F52" i="5"/>
  <c r="E52" i="5"/>
  <c r="D52" i="5"/>
  <c r="F51" i="5"/>
  <c r="E51" i="5"/>
  <c r="D51" i="5"/>
  <c r="F17" i="5"/>
  <c r="F64" i="5" s="1"/>
  <c r="E17" i="5"/>
  <c r="E64" i="5" s="1"/>
  <c r="D17" i="5"/>
  <c r="D23" i="5" s="1"/>
  <c r="D18" i="5"/>
  <c r="E18" i="5"/>
  <c r="F18" i="5"/>
  <c r="F79" i="5"/>
  <c r="E79" i="5"/>
  <c r="D79" i="5"/>
  <c r="F76" i="5"/>
  <c r="E76" i="5"/>
  <c r="D76" i="5"/>
  <c r="F74" i="5"/>
  <c r="E74" i="5"/>
  <c r="D74" i="5"/>
  <c r="D11" i="5"/>
  <c r="D75" i="5" s="1"/>
  <c r="E11" i="5"/>
  <c r="E75" i="5" s="1"/>
  <c r="F11" i="5"/>
  <c r="F75" i="5" s="1"/>
  <c r="D6" i="5"/>
  <c r="E6" i="5"/>
  <c r="F6" i="5"/>
  <c r="O31" i="5"/>
  <c r="F52" i="16" l="1"/>
  <c r="E60" i="16"/>
  <c r="F79" i="16"/>
  <c r="F51" i="16"/>
  <c r="E56" i="16"/>
  <c r="F61" i="16"/>
  <c r="E55" i="16"/>
  <c r="F62" i="16"/>
  <c r="E62" i="16"/>
  <c r="D62" i="16"/>
  <c r="D72" i="16"/>
  <c r="E72" i="16"/>
  <c r="D41" i="16"/>
  <c r="E41" i="16"/>
  <c r="E75" i="16"/>
  <c r="F57" i="16"/>
  <c r="F58" i="5"/>
  <c r="D64" i="5"/>
  <c r="F69" i="5"/>
  <c r="F23" i="5"/>
  <c r="F42" i="16"/>
  <c r="E42" i="16" s="1"/>
  <c r="D42" i="16" s="1"/>
  <c r="F56" i="16"/>
  <c r="F63" i="16"/>
  <c r="F74" i="16"/>
  <c r="D75" i="16"/>
  <c r="D17" i="16"/>
  <c r="D23" i="16" s="1"/>
  <c r="D51" i="16"/>
  <c r="D40" i="16"/>
  <c r="E53" i="16"/>
  <c r="F59" i="5"/>
  <c r="F61" i="5"/>
  <c r="D63" i="16"/>
  <c r="D54" i="16"/>
  <c r="E57" i="16"/>
  <c r="D79" i="16"/>
  <c r="D69" i="16"/>
  <c r="E79" i="16"/>
  <c r="E38" i="16"/>
  <c r="E66" i="16" s="1"/>
  <c r="F40" i="16"/>
  <c r="F69" i="16" s="1"/>
  <c r="D56" i="16"/>
  <c r="E40" i="16"/>
  <c r="D57" i="16"/>
  <c r="G56" i="16"/>
  <c r="G64" i="16"/>
  <c r="B38" i="16"/>
  <c r="B61" i="16" s="1"/>
  <c r="E52" i="16"/>
  <c r="D53" i="16"/>
  <c r="C64" i="16"/>
  <c r="D66" i="16"/>
  <c r="B56" i="16"/>
  <c r="J56" i="16"/>
  <c r="C40" i="16"/>
  <c r="C69" i="16" s="1"/>
  <c r="G69" i="16"/>
  <c r="D59" i="16"/>
  <c r="D61" i="16"/>
  <c r="D64" i="16"/>
  <c r="E76" i="16"/>
  <c r="D76" i="16"/>
  <c r="F75" i="16"/>
  <c r="D52" i="16"/>
  <c r="F54" i="16"/>
  <c r="F65" i="16"/>
  <c r="F64" i="16"/>
  <c r="F23" i="16"/>
  <c r="K66" i="16"/>
  <c r="K68" i="16"/>
  <c r="B68" i="16"/>
  <c r="C67" i="16"/>
  <c r="C66" i="16"/>
  <c r="C68" i="16"/>
  <c r="J68" i="16"/>
  <c r="J67" i="16"/>
  <c r="J66" i="16"/>
  <c r="G66" i="16"/>
  <c r="G68" i="16"/>
  <c r="H68" i="16"/>
  <c r="H6" i="16"/>
  <c r="E23" i="16"/>
  <c r="I23" i="16"/>
  <c r="B40" i="16"/>
  <c r="B69" i="16" s="1"/>
  <c r="B42" i="16"/>
  <c r="I51" i="16"/>
  <c r="C52" i="16"/>
  <c r="G52" i="16"/>
  <c r="B53" i="16"/>
  <c r="J53" i="16"/>
  <c r="I54" i="16"/>
  <c r="C55" i="16"/>
  <c r="G55" i="16"/>
  <c r="K55" i="16"/>
  <c r="I56" i="16"/>
  <c r="C57" i="16"/>
  <c r="G57" i="16"/>
  <c r="K57" i="16"/>
  <c r="I58" i="16"/>
  <c r="C59" i="16"/>
  <c r="G59" i="16"/>
  <c r="K59" i="16"/>
  <c r="C61" i="16"/>
  <c r="G61" i="16"/>
  <c r="I64" i="16"/>
  <c r="F66" i="16"/>
  <c r="D67" i="16"/>
  <c r="I76" i="16"/>
  <c r="I79" i="16"/>
  <c r="C80" i="16"/>
  <c r="J80" i="16"/>
  <c r="G81" i="16"/>
  <c r="K81" i="16"/>
  <c r="H82" i="16"/>
  <c r="G53" i="16"/>
  <c r="H57" i="16"/>
  <c r="F58" i="16"/>
  <c r="B64" i="16"/>
  <c r="E67" i="16"/>
  <c r="I67" i="16"/>
  <c r="B76" i="16"/>
  <c r="J76" i="16"/>
  <c r="B79" i="16"/>
  <c r="J79" i="16"/>
  <c r="G80" i="16"/>
  <c r="K80" i="16"/>
  <c r="H81" i="16"/>
  <c r="B82" i="16"/>
  <c r="I82" i="16"/>
  <c r="F41" i="16"/>
  <c r="C51" i="16"/>
  <c r="G51" i="16"/>
  <c r="K51" i="16"/>
  <c r="H53" i="16"/>
  <c r="C54" i="16"/>
  <c r="G54" i="16"/>
  <c r="K54" i="16"/>
  <c r="K56" i="16"/>
  <c r="C58" i="16"/>
  <c r="G58" i="16"/>
  <c r="E61" i="16"/>
  <c r="F67" i="16"/>
  <c r="I68" i="16"/>
  <c r="C76" i="16"/>
  <c r="G76" i="16"/>
  <c r="K76" i="16"/>
  <c r="C79" i="16"/>
  <c r="H80" i="16"/>
  <c r="B81" i="16"/>
  <c r="I81" i="16"/>
  <c r="J82" i="16"/>
  <c r="G65" i="16"/>
  <c r="H51" i="16"/>
  <c r="B52" i="16"/>
  <c r="J52" i="16"/>
  <c r="J55" i="16"/>
  <c r="D58" i="16"/>
  <c r="F59" i="16"/>
  <c r="H76" i="16"/>
  <c r="D65" i="5"/>
  <c r="E61" i="5"/>
  <c r="E59" i="5"/>
  <c r="E67" i="5"/>
  <c r="E58" i="5"/>
  <c r="E65" i="5"/>
  <c r="D57" i="5"/>
  <c r="D60" i="5"/>
  <c r="E57" i="5"/>
  <c r="K23" i="2"/>
  <c r="K22" i="2"/>
  <c r="E59" i="16" l="1"/>
  <c r="E64" i="16"/>
  <c r="E65" i="16"/>
  <c r="C65" i="16"/>
  <c r="D65" i="16"/>
  <c r="E69" i="16"/>
  <c r="E58" i="16"/>
  <c r="B59" i="16"/>
  <c r="B58" i="16"/>
  <c r="B65" i="16"/>
  <c r="B66" i="16"/>
  <c r="B67" i="16"/>
  <c r="G67" i="16"/>
  <c r="H65" i="16"/>
  <c r="H66" i="16"/>
  <c r="H64" i="16"/>
  <c r="H58" i="16"/>
  <c r="H69" i="16"/>
  <c r="H61" i="16"/>
  <c r="H59" i="16"/>
  <c r="H67" i="16"/>
  <c r="H50" i="1"/>
  <c r="G50" i="1"/>
  <c r="H28" i="5" l="1"/>
  <c r="G28" i="5"/>
  <c r="G25" i="5"/>
  <c r="H25" i="5"/>
  <c r="H20" i="5"/>
  <c r="G20" i="5"/>
  <c r="H11" i="5"/>
  <c r="G11" i="5"/>
  <c r="I14" i="2"/>
  <c r="H14" i="2"/>
  <c r="H26" i="1"/>
  <c r="G26" i="1"/>
  <c r="B28" i="5"/>
  <c r="C25" i="5"/>
  <c r="B25" i="5"/>
  <c r="C20" i="5"/>
  <c r="B20" i="5"/>
  <c r="C11" i="5" l="1"/>
  <c r="B11" i="5"/>
  <c r="G14" i="2"/>
  <c r="F14" i="2"/>
  <c r="F26" i="1"/>
  <c r="E26" i="1"/>
  <c r="C63" i="5" l="1"/>
  <c r="G63" i="5"/>
  <c r="H63" i="5"/>
  <c r="I63" i="5"/>
  <c r="J63" i="5"/>
  <c r="K63" i="5"/>
  <c r="B63" i="5"/>
  <c r="C62" i="5"/>
  <c r="G62" i="5"/>
  <c r="H62" i="5"/>
  <c r="I62" i="5"/>
  <c r="J62" i="5"/>
  <c r="K62" i="5"/>
  <c r="B62" i="5"/>
  <c r="I61" i="5"/>
  <c r="J61" i="5"/>
  <c r="K61" i="5"/>
  <c r="C60" i="5"/>
  <c r="G60" i="5"/>
  <c r="H60" i="5"/>
  <c r="I60" i="5"/>
  <c r="J60" i="5"/>
  <c r="K60" i="5"/>
  <c r="B60" i="5"/>
  <c r="B48" i="13" l="1"/>
  <c r="C48" i="13" l="1"/>
  <c r="C47" i="13"/>
  <c r="D47" i="13"/>
  <c r="D48" i="13"/>
  <c r="F48" i="13"/>
  <c r="F47" i="13"/>
  <c r="E47" i="13"/>
  <c r="E48" i="13"/>
  <c r="F16" i="2"/>
  <c r="F20" i="2" s="1"/>
  <c r="I75" i="5" l="1"/>
  <c r="J75" i="5"/>
  <c r="K75" i="5"/>
  <c r="H75" i="5"/>
  <c r="G75" i="5"/>
  <c r="C75" i="5"/>
  <c r="B75" i="5"/>
  <c r="D46" i="1" l="1"/>
  <c r="D47" i="1"/>
  <c r="D48" i="1"/>
  <c r="D49" i="1"/>
  <c r="D50" i="1"/>
  <c r="D51" i="1"/>
  <c r="D52" i="1"/>
  <c r="D53" i="1"/>
  <c r="D54" i="1"/>
  <c r="D45" i="1"/>
  <c r="F36" i="1"/>
  <c r="G36" i="1"/>
  <c r="H36" i="1"/>
  <c r="I36" i="1"/>
  <c r="J36" i="1"/>
  <c r="K36" i="1"/>
  <c r="E36" i="1"/>
  <c r="G48" i="9" l="1"/>
  <c r="G44" i="9"/>
  <c r="E4" i="15"/>
  <c r="E2" i="15" l="1"/>
  <c r="B2" i="15"/>
  <c r="K26" i="14"/>
  <c r="K15" i="14"/>
  <c r="K4" i="14"/>
  <c r="H15" i="14"/>
  <c r="H4" i="14"/>
  <c r="G21" i="9"/>
  <c r="I21" i="9" s="1"/>
  <c r="G19" i="9"/>
  <c r="G17" i="9"/>
  <c r="G15" i="9"/>
  <c r="E37" i="14"/>
  <c r="E26" i="14"/>
  <c r="E15" i="14"/>
  <c r="E4" i="14"/>
  <c r="K2" i="14"/>
  <c r="H2" i="14"/>
  <c r="E7" i="9"/>
  <c r="G48" i="13" l="1"/>
  <c r="G47" i="13"/>
  <c r="H48" i="13"/>
  <c r="H47" i="13"/>
  <c r="I59" i="1"/>
  <c r="I50" i="1"/>
  <c r="I57" i="1"/>
  <c r="I48" i="1"/>
  <c r="I52" i="1"/>
  <c r="I45" i="1"/>
  <c r="I47" i="1"/>
  <c r="I51" i="1"/>
  <c r="I46" i="1"/>
  <c r="I54" i="1"/>
  <c r="I58" i="1"/>
  <c r="I56" i="1"/>
  <c r="I49" i="1"/>
  <c r="I53" i="1"/>
  <c r="H58" i="1"/>
  <c r="H56" i="1"/>
  <c r="H49" i="1"/>
  <c r="H45" i="1"/>
  <c r="H47" i="1"/>
  <c r="H51" i="1"/>
  <c r="H59" i="1"/>
  <c r="H46" i="1"/>
  <c r="H54" i="1"/>
  <c r="H53" i="1"/>
  <c r="H57" i="1"/>
  <c r="H48" i="1"/>
  <c r="H52" i="1"/>
  <c r="F45" i="1"/>
  <c r="F47" i="1"/>
  <c r="F54" i="1"/>
  <c r="F56" i="1"/>
  <c r="F49" i="1"/>
  <c r="F53" i="1"/>
  <c r="F57" i="1"/>
  <c r="F48" i="1"/>
  <c r="F52" i="1"/>
  <c r="F51" i="1"/>
  <c r="F59" i="1"/>
  <c r="F46" i="1"/>
  <c r="F50" i="1"/>
  <c r="F58" i="1"/>
  <c r="J45" i="1"/>
  <c r="J51" i="1"/>
  <c r="J59" i="1"/>
  <c r="J46" i="1"/>
  <c r="J50" i="1"/>
  <c r="J58" i="1"/>
  <c r="J49" i="1"/>
  <c r="J53" i="1"/>
  <c r="J57" i="1"/>
  <c r="J48" i="1"/>
  <c r="J52" i="1"/>
  <c r="J47" i="1"/>
  <c r="J54" i="1"/>
  <c r="J56" i="1"/>
  <c r="E59" i="1"/>
  <c r="E56" i="1"/>
  <c r="E46" i="1"/>
  <c r="E54" i="1"/>
  <c r="E58" i="1"/>
  <c r="E49" i="1"/>
  <c r="E53" i="1"/>
  <c r="E45" i="1"/>
  <c r="E48" i="1"/>
  <c r="E52" i="1"/>
  <c r="E47" i="1"/>
  <c r="E51" i="1"/>
  <c r="E50" i="1"/>
  <c r="E57" i="1"/>
  <c r="G57" i="1"/>
  <c r="G48" i="1"/>
  <c r="G45" i="1"/>
  <c r="G46" i="1"/>
  <c r="G54" i="1"/>
  <c r="G58" i="1"/>
  <c r="G56" i="1"/>
  <c r="G49" i="1"/>
  <c r="G53" i="1"/>
  <c r="G52" i="1"/>
  <c r="G47" i="1"/>
  <c r="G51" i="1"/>
  <c r="G59" i="1"/>
  <c r="K57" i="1"/>
  <c r="K52" i="1"/>
  <c r="K59" i="1"/>
  <c r="K47" i="1"/>
  <c r="K51" i="1"/>
  <c r="K46" i="1"/>
  <c r="K50" i="1"/>
  <c r="K54" i="1"/>
  <c r="K58" i="1"/>
  <c r="K56" i="1"/>
  <c r="K49" i="1"/>
  <c r="K53" i="1"/>
  <c r="K48" i="1"/>
  <c r="K45" i="1"/>
  <c r="L16" i="2"/>
  <c r="L20" i="2" s="1"/>
  <c r="K16" i="2"/>
  <c r="K20" i="2" s="1"/>
  <c r="J16" i="2"/>
  <c r="J20" i="2" s="1"/>
  <c r="I16" i="2"/>
  <c r="I20" i="2" s="1"/>
  <c r="H16" i="2"/>
  <c r="H20" i="2" s="1"/>
  <c r="G16" i="2"/>
  <c r="G20" i="2" s="1"/>
  <c r="K42" i="1" l="1"/>
  <c r="K38" i="1" s="1"/>
  <c r="I42" i="1"/>
  <c r="I38" i="1" s="1"/>
  <c r="H42" i="1"/>
  <c r="H38" i="1" s="1"/>
  <c r="G42" i="1"/>
  <c r="G38" i="1" s="1"/>
  <c r="F42" i="1"/>
  <c r="F38" i="1" s="1"/>
  <c r="K40" i="1"/>
  <c r="E42" i="1"/>
  <c r="E38" i="1" s="1"/>
  <c r="F40" i="1"/>
  <c r="G40" i="1"/>
  <c r="E40" i="1"/>
  <c r="J42" i="1"/>
  <c r="J38" i="1" s="1"/>
  <c r="J40" i="1"/>
  <c r="H40" i="1"/>
  <c r="I40" i="1"/>
  <c r="F5" i="13"/>
  <c r="G5" i="13"/>
  <c r="H5" i="5"/>
  <c r="I5" i="5"/>
  <c r="E5" i="13"/>
  <c r="B5" i="5"/>
  <c r="C5" i="5"/>
  <c r="E7" i="8"/>
  <c r="E7" i="6"/>
  <c r="G5" i="5"/>
  <c r="J5" i="5"/>
  <c r="K5" i="5"/>
  <c r="C5" i="13"/>
  <c r="D5" i="13"/>
  <c r="H5" i="13"/>
  <c r="B5" i="13"/>
  <c r="E15" i="8"/>
  <c r="E19" i="8"/>
  <c r="A16" i="3"/>
  <c r="A5" i="5" s="1"/>
  <c r="B33" i="13"/>
  <c r="C33" i="13"/>
  <c r="D33" i="13"/>
  <c r="E29" i="9" s="1"/>
  <c r="G29" i="9" s="1"/>
  <c r="E33" i="13"/>
  <c r="F33" i="13"/>
  <c r="G33" i="13"/>
  <c r="H33" i="13"/>
  <c r="B34" i="13"/>
  <c r="C34" i="13"/>
  <c r="D34" i="13"/>
  <c r="E34" i="13"/>
  <c r="F34" i="13"/>
  <c r="G34" i="13"/>
  <c r="H34" i="13"/>
  <c r="B35" i="13"/>
  <c r="C35" i="13"/>
  <c r="D35" i="13"/>
  <c r="E35" i="13"/>
  <c r="F35" i="13"/>
  <c r="G35" i="13"/>
  <c r="H35" i="13"/>
  <c r="B36" i="13"/>
  <c r="C36" i="13"/>
  <c r="D36" i="13"/>
  <c r="E36" i="13"/>
  <c r="F36" i="13"/>
  <c r="G36" i="13"/>
  <c r="H36" i="13"/>
  <c r="F38" i="13"/>
  <c r="G38" i="13"/>
  <c r="H38" i="13"/>
  <c r="B39" i="13"/>
  <c r="B78" i="13" s="1"/>
  <c r="C39" i="13"/>
  <c r="D39" i="13"/>
  <c r="E39" i="13"/>
  <c r="F39" i="13"/>
  <c r="F78" i="13" s="1"/>
  <c r="G39" i="13"/>
  <c r="H39" i="13"/>
  <c r="H78" i="13" s="1"/>
  <c r="F42" i="13"/>
  <c r="G42" i="13"/>
  <c r="H42" i="13"/>
  <c r="B43" i="13"/>
  <c r="C43" i="13"/>
  <c r="D43" i="13"/>
  <c r="E43" i="13"/>
  <c r="F43" i="13"/>
  <c r="G43" i="13"/>
  <c r="H43" i="13"/>
  <c r="B44" i="13"/>
  <c r="C44" i="13"/>
  <c r="D44" i="13"/>
  <c r="E44" i="13"/>
  <c r="F44" i="13"/>
  <c r="G44" i="13"/>
  <c r="H44" i="13"/>
  <c r="B45" i="13"/>
  <c r="C45" i="13"/>
  <c r="D45" i="13"/>
  <c r="E45" i="13"/>
  <c r="F45" i="13"/>
  <c r="G45" i="13"/>
  <c r="H45" i="13"/>
  <c r="B46" i="13"/>
  <c r="C46" i="13"/>
  <c r="D46" i="13"/>
  <c r="E46" i="13"/>
  <c r="F46" i="13"/>
  <c r="G46" i="13"/>
  <c r="H46" i="13"/>
  <c r="B47" i="13"/>
  <c r="B49" i="13"/>
  <c r="C49" i="13"/>
  <c r="D49" i="13"/>
  <c r="E49" i="13"/>
  <c r="F49" i="13"/>
  <c r="G49" i="13"/>
  <c r="H49" i="13"/>
  <c r="C32" i="13"/>
  <c r="D32" i="13"/>
  <c r="E32" i="13"/>
  <c r="F32" i="13"/>
  <c r="G32" i="13"/>
  <c r="H32" i="13"/>
  <c r="B32" i="13"/>
  <c r="B20" i="13"/>
  <c r="C20" i="13"/>
  <c r="D20" i="13"/>
  <c r="E20" i="13"/>
  <c r="F20" i="13"/>
  <c r="G20" i="13"/>
  <c r="H20" i="13"/>
  <c r="B21" i="13"/>
  <c r="C21" i="13"/>
  <c r="D21" i="13"/>
  <c r="E21" i="13"/>
  <c r="F21" i="13"/>
  <c r="G21" i="13"/>
  <c r="H21" i="13"/>
  <c r="B24" i="13"/>
  <c r="C24" i="13"/>
  <c r="D24" i="13"/>
  <c r="E24" i="13"/>
  <c r="F24" i="13"/>
  <c r="G24" i="13"/>
  <c r="H24" i="13"/>
  <c r="B25" i="13"/>
  <c r="C25" i="13"/>
  <c r="D25" i="13"/>
  <c r="E25" i="13"/>
  <c r="F25" i="13"/>
  <c r="G25" i="13"/>
  <c r="H25" i="13"/>
  <c r="B26" i="13"/>
  <c r="C26" i="13"/>
  <c r="D26" i="13"/>
  <c r="E26" i="13"/>
  <c r="F26" i="13"/>
  <c r="G26" i="13"/>
  <c r="H26" i="13"/>
  <c r="B27" i="13"/>
  <c r="C27" i="13"/>
  <c r="D27" i="13"/>
  <c r="E27" i="13"/>
  <c r="F27" i="13"/>
  <c r="G27" i="13"/>
  <c r="H27" i="13"/>
  <c r="B28" i="13"/>
  <c r="C28" i="13"/>
  <c r="D28" i="13"/>
  <c r="E28" i="13"/>
  <c r="F28" i="13"/>
  <c r="G28" i="13"/>
  <c r="H28" i="13"/>
  <c r="B29" i="13"/>
  <c r="C29" i="13"/>
  <c r="D29" i="13"/>
  <c r="E29" i="13"/>
  <c r="F29" i="13"/>
  <c r="G29" i="13"/>
  <c r="H29" i="13"/>
  <c r="C11" i="13"/>
  <c r="D11" i="13"/>
  <c r="E11" i="13"/>
  <c r="F11" i="13"/>
  <c r="G11" i="13"/>
  <c r="H11" i="13"/>
  <c r="B11" i="13"/>
  <c r="C10" i="13"/>
  <c r="D10" i="13"/>
  <c r="E10" i="13"/>
  <c r="F10" i="13"/>
  <c r="G10" i="13"/>
  <c r="H10" i="13"/>
  <c r="B10" i="13"/>
  <c r="G78" i="13"/>
  <c r="H8" i="13"/>
  <c r="G8" i="13"/>
  <c r="F8" i="13"/>
  <c r="E8" i="13"/>
  <c r="D8" i="13"/>
  <c r="C8" i="13"/>
  <c r="B8" i="13"/>
  <c r="H1" i="13"/>
  <c r="G1" i="13"/>
  <c r="F1" i="13"/>
  <c r="E1" i="13"/>
  <c r="D1" i="13"/>
  <c r="C1" i="13"/>
  <c r="B1" i="13"/>
  <c r="D78" i="13" l="1"/>
  <c r="H71" i="13"/>
  <c r="I41" i="1"/>
  <c r="B77" i="13"/>
  <c r="G77" i="13"/>
  <c r="H63" i="13"/>
  <c r="H60" i="13"/>
  <c r="H61" i="13"/>
  <c r="H62" i="13"/>
  <c r="F61" i="13"/>
  <c r="F62" i="13"/>
  <c r="F63" i="13"/>
  <c r="F60" i="13"/>
  <c r="B62" i="13"/>
  <c r="B63" i="13"/>
  <c r="B60" i="13"/>
  <c r="E60" i="13"/>
  <c r="E62" i="13"/>
  <c r="E63" i="13"/>
  <c r="D63" i="13"/>
  <c r="D60" i="13"/>
  <c r="D62" i="13"/>
  <c r="G62" i="13"/>
  <c r="G63" i="13"/>
  <c r="G60" i="13"/>
  <c r="G61" i="13"/>
  <c r="C62" i="13"/>
  <c r="C63" i="13"/>
  <c r="C60" i="13"/>
  <c r="H39" i="1"/>
  <c r="J41" i="1"/>
  <c r="E78" i="13"/>
  <c r="F39" i="1"/>
  <c r="H41" i="1"/>
  <c r="C77" i="13"/>
  <c r="E41" i="1"/>
  <c r="B75" i="13"/>
  <c r="E75" i="13"/>
  <c r="H75" i="13"/>
  <c r="D75" i="13"/>
  <c r="I39" i="1"/>
  <c r="G41" i="1"/>
  <c r="G75" i="13"/>
  <c r="C75" i="13"/>
  <c r="F41" i="1"/>
  <c r="J39" i="1"/>
  <c r="F75" i="13"/>
  <c r="G39" i="1"/>
  <c r="J6" i="5"/>
  <c r="C78" i="13"/>
  <c r="G6" i="13"/>
  <c r="G71" i="13"/>
  <c r="I6" i="5"/>
  <c r="G6" i="5"/>
  <c r="C71" i="13"/>
  <c r="B6" i="13"/>
  <c r="E26" i="9"/>
  <c r="G26" i="9" s="1"/>
  <c r="H6" i="5"/>
  <c r="E6" i="13"/>
  <c r="F6" i="13"/>
  <c r="D6" i="13"/>
  <c r="B6" i="5"/>
  <c r="B71" i="13"/>
  <c r="H72" i="13"/>
  <c r="D72" i="13"/>
  <c r="E71" i="13"/>
  <c r="A5" i="13"/>
  <c r="D71" i="13"/>
  <c r="F72" i="13"/>
  <c r="B72" i="13"/>
  <c r="F71" i="13"/>
  <c r="C72" i="13"/>
  <c r="G72" i="13"/>
  <c r="E72" i="13"/>
  <c r="H77" i="13"/>
  <c r="D77" i="13"/>
  <c r="E77" i="13"/>
  <c r="G74" i="13"/>
  <c r="F74" i="13"/>
  <c r="F77" i="13"/>
  <c r="B74" i="13"/>
  <c r="D74" i="13"/>
  <c r="G11" i="3"/>
  <c r="F11" i="3"/>
  <c r="E11" i="3"/>
  <c r="E3" i="13"/>
  <c r="B11" i="3"/>
  <c r="A11" i="3"/>
  <c r="E10" i="3"/>
  <c r="F10" i="3"/>
  <c r="G2" i="13" s="1"/>
  <c r="G10" i="3"/>
  <c r="C1" i="5"/>
  <c r="G1" i="5"/>
  <c r="H1" i="5"/>
  <c r="I1" i="5"/>
  <c r="J1" i="5"/>
  <c r="K1" i="5"/>
  <c r="B1" i="5"/>
  <c r="J2" i="5" l="1"/>
  <c r="C2" i="5"/>
  <c r="C2" i="13"/>
  <c r="B3" i="5"/>
  <c r="B3" i="13"/>
  <c r="B2" i="5"/>
  <c r="B2" i="13"/>
  <c r="H2" i="5"/>
  <c r="E2" i="13"/>
  <c r="C3" i="5"/>
  <c r="C3" i="13"/>
  <c r="K2" i="5"/>
  <c r="H2" i="13"/>
  <c r="G2" i="5"/>
  <c r="D2" i="13"/>
  <c r="G3" i="5"/>
  <c r="D3" i="13"/>
  <c r="K3" i="5"/>
  <c r="H3" i="13"/>
  <c r="I2" i="5"/>
  <c r="F2" i="13"/>
  <c r="H3" i="5"/>
  <c r="I3" i="5"/>
  <c r="F3" i="13"/>
  <c r="J3" i="5"/>
  <c r="G3" i="13"/>
  <c r="B37" i="5"/>
  <c r="B38" i="5" s="1"/>
  <c r="C37" i="5"/>
  <c r="C38" i="5" s="1"/>
  <c r="K37" i="5"/>
  <c r="H37" i="13" s="1"/>
  <c r="H82" i="13" s="1"/>
  <c r="J37" i="5"/>
  <c r="G37" i="13" s="1"/>
  <c r="G82" i="13" s="1"/>
  <c r="I37" i="5"/>
  <c r="F37" i="13" s="1"/>
  <c r="F82" i="13" s="1"/>
  <c r="H37" i="5"/>
  <c r="G37" i="5"/>
  <c r="C37" i="13" l="1"/>
  <c r="C82" i="13" s="1"/>
  <c r="E37" i="13"/>
  <c r="E82" i="13" s="1"/>
  <c r="H38" i="5"/>
  <c r="H61" i="5" s="1"/>
  <c r="D37" i="13"/>
  <c r="D82" i="13" s="1"/>
  <c r="G38" i="5"/>
  <c r="B37" i="13"/>
  <c r="B82" i="13" s="1"/>
  <c r="G15" i="8"/>
  <c r="F67" i="5" l="1"/>
  <c r="F65" i="5"/>
  <c r="D38" i="13"/>
  <c r="G61" i="5"/>
  <c r="C38" i="13"/>
  <c r="C61" i="13" s="1"/>
  <c r="C61" i="5"/>
  <c r="B38" i="13"/>
  <c r="B61" i="13" s="1"/>
  <c r="B61" i="5"/>
  <c r="E38" i="13"/>
  <c r="E61" i="13" s="1"/>
  <c r="L17" i="12"/>
  <c r="J17" i="12"/>
  <c r="I1" i="12"/>
  <c r="F1" i="12"/>
  <c r="E1" i="12"/>
  <c r="A1" i="12"/>
  <c r="G40" i="8"/>
  <c r="N4" i="11"/>
  <c r="N2" i="11"/>
  <c r="K22" i="11"/>
  <c r="K13" i="11"/>
  <c r="K4" i="11"/>
  <c r="K2" i="11"/>
  <c r="H4" i="11"/>
  <c r="H2" i="11"/>
  <c r="G19" i="8"/>
  <c r="I19" i="8" s="1"/>
  <c r="I15" i="8"/>
  <c r="E25" i="11"/>
  <c r="E15" i="11"/>
  <c r="E4" i="11"/>
  <c r="E2" i="11"/>
  <c r="E2" i="14" s="1"/>
  <c r="I54" i="9"/>
  <c r="H50" i="9"/>
  <c r="I29" i="9"/>
  <c r="I26" i="9"/>
  <c r="I19" i="9"/>
  <c r="I17" i="9"/>
  <c r="I15" i="9"/>
  <c r="G11" i="9"/>
  <c r="C7" i="9"/>
  <c r="I47" i="8"/>
  <c r="Y31" i="11" s="1"/>
  <c r="H43" i="8"/>
  <c r="G11" i="8"/>
  <c r="C7" i="8"/>
  <c r="Q6" i="4"/>
  <c r="I74" i="5"/>
  <c r="J74" i="5"/>
  <c r="J77" i="5"/>
  <c r="K77" i="5"/>
  <c r="J78" i="5"/>
  <c r="K78" i="5"/>
  <c r="J82" i="5"/>
  <c r="K82" i="5"/>
  <c r="J71" i="5"/>
  <c r="K71" i="5"/>
  <c r="J72" i="5"/>
  <c r="K72" i="5"/>
  <c r="J40" i="5"/>
  <c r="K40" i="5"/>
  <c r="J41" i="5"/>
  <c r="G41" i="13" s="1"/>
  <c r="K41" i="5"/>
  <c r="H41" i="13" s="1"/>
  <c r="J18" i="5"/>
  <c r="G18" i="13" s="1"/>
  <c r="K18" i="5"/>
  <c r="H18" i="13" s="1"/>
  <c r="J19" i="5"/>
  <c r="K19" i="5"/>
  <c r="J30" i="5"/>
  <c r="G30" i="13" s="1"/>
  <c r="K30" i="5"/>
  <c r="H30" i="13" s="1"/>
  <c r="J13" i="5"/>
  <c r="G13" i="13" s="1"/>
  <c r="K13" i="5"/>
  <c r="H13" i="13" s="1"/>
  <c r="J14" i="5"/>
  <c r="K14" i="5"/>
  <c r="J8" i="5"/>
  <c r="K8" i="5"/>
  <c r="L4" i="2"/>
  <c r="K4" i="1"/>
  <c r="C7" i="6"/>
  <c r="G11" i="6"/>
  <c r="G15" i="6"/>
  <c r="I15" i="6" s="1"/>
  <c r="G17" i="6"/>
  <c r="I17" i="6" s="1"/>
  <c r="G19" i="6"/>
  <c r="I19" i="6" s="1"/>
  <c r="G24" i="6"/>
  <c r="I24" i="6" s="1"/>
  <c r="G27" i="6"/>
  <c r="I27" i="6" s="1"/>
  <c r="H56" i="6"/>
  <c r="I60" i="6"/>
  <c r="AF5" i="7" l="1"/>
  <c r="AA5" i="14"/>
  <c r="Y31" i="7"/>
  <c r="T31" i="14"/>
  <c r="AF5" i="11"/>
  <c r="D61" i="13"/>
  <c r="K22" i="5"/>
  <c r="H22" i="13" s="1"/>
  <c r="H19" i="13"/>
  <c r="J22" i="5"/>
  <c r="J67" i="5" s="1"/>
  <c r="G19" i="13"/>
  <c r="J69" i="5"/>
  <c r="G40" i="13"/>
  <c r="G69" i="13" s="1"/>
  <c r="K69" i="5"/>
  <c r="H40" i="13"/>
  <c r="H69" i="13" s="1"/>
  <c r="K76" i="5"/>
  <c r="H14" i="13"/>
  <c r="J76" i="5"/>
  <c r="G14" i="13"/>
  <c r="K14" i="12"/>
  <c r="K12" i="12"/>
  <c r="K8" i="12"/>
  <c r="K16" i="12"/>
  <c r="K10" i="12"/>
  <c r="K7" i="12"/>
  <c r="K13" i="12"/>
  <c r="K9" i="12"/>
  <c r="K15" i="12"/>
  <c r="K11" i="12"/>
  <c r="K81" i="5"/>
  <c r="K79" i="5"/>
  <c r="J81" i="5"/>
  <c r="J79" i="5"/>
  <c r="K80" i="5"/>
  <c r="J80" i="5"/>
  <c r="K68" i="5" l="1"/>
  <c r="K66" i="5"/>
  <c r="J66" i="5"/>
  <c r="J68" i="5"/>
  <c r="G22" i="13"/>
  <c r="G68" i="13" s="1"/>
  <c r="H66" i="13"/>
  <c r="H68" i="13"/>
  <c r="H79" i="13"/>
  <c r="H76" i="13"/>
  <c r="H80" i="13"/>
  <c r="H81" i="13"/>
  <c r="G81" i="13"/>
  <c r="G76" i="13"/>
  <c r="G80" i="13"/>
  <c r="G79" i="13"/>
  <c r="I24" i="12"/>
  <c r="I21" i="12" s="1"/>
  <c r="K17" i="12"/>
  <c r="E17" i="8" l="1"/>
  <c r="G17" i="8" s="1"/>
  <c r="I17" i="8" s="1"/>
  <c r="D8" i="12"/>
  <c r="E29" i="8" s="1"/>
  <c r="G29" i="8" s="1"/>
  <c r="I29" i="8" s="1"/>
  <c r="G66" i="13"/>
  <c r="G67" i="13"/>
  <c r="F1" i="4"/>
  <c r="F1" i="2"/>
  <c r="G1" i="1"/>
  <c r="I18" i="5" l="1"/>
  <c r="F18" i="13" s="1"/>
  <c r="H18" i="5"/>
  <c r="E18" i="13" s="1"/>
  <c r="G18" i="5"/>
  <c r="D18" i="13" s="1"/>
  <c r="C18" i="5"/>
  <c r="C18" i="13" s="1"/>
  <c r="B18" i="5"/>
  <c r="B18" i="13" s="1"/>
  <c r="K17" i="5"/>
  <c r="H17" i="13" s="1"/>
  <c r="H64" i="13" s="1"/>
  <c r="J17" i="5"/>
  <c r="G17" i="13" s="1"/>
  <c r="G64" i="13" l="1"/>
  <c r="G65" i="13"/>
  <c r="J64" i="5"/>
  <c r="J65" i="5"/>
  <c r="J23" i="5"/>
  <c r="G23" i="13" s="1"/>
  <c r="K64" i="5"/>
  <c r="K23" i="5"/>
  <c r="H23" i="13" s="1"/>
  <c r="C30" i="5"/>
  <c r="C30" i="13" s="1"/>
  <c r="G30" i="5"/>
  <c r="D30" i="13" s="1"/>
  <c r="H30" i="5"/>
  <c r="E30" i="13" s="1"/>
  <c r="I30" i="5"/>
  <c r="F30" i="13" s="1"/>
  <c r="B30" i="5"/>
  <c r="B30" i="13" s="1"/>
  <c r="C41" i="5" l="1"/>
  <c r="C41" i="13" s="1"/>
  <c r="G41" i="5"/>
  <c r="D41" i="13" s="1"/>
  <c r="H41" i="5"/>
  <c r="E41" i="13" s="1"/>
  <c r="I41" i="5"/>
  <c r="F41" i="13" s="1"/>
  <c r="B41" i="5"/>
  <c r="B41" i="13" s="1"/>
  <c r="C19" i="5" l="1"/>
  <c r="C19" i="13" s="1"/>
  <c r="G19" i="5"/>
  <c r="D19" i="13" s="1"/>
  <c r="H19" i="5"/>
  <c r="E19" i="13" s="1"/>
  <c r="I19" i="5"/>
  <c r="F19" i="13" s="1"/>
  <c r="B19" i="5"/>
  <c r="B19" i="13" s="1"/>
  <c r="I72" i="5" l="1"/>
  <c r="H72" i="5"/>
  <c r="G72" i="5"/>
  <c r="C72" i="5"/>
  <c r="B72" i="5"/>
  <c r="I71" i="5"/>
  <c r="H71" i="5"/>
  <c r="G71" i="5"/>
  <c r="C71" i="5"/>
  <c r="B71" i="5"/>
  <c r="Q53" i="4" l="1"/>
  <c r="P53" i="4"/>
  <c r="O53" i="4"/>
  <c r="N53" i="4"/>
  <c r="M53" i="4"/>
  <c r="L53" i="4"/>
  <c r="K53" i="4"/>
  <c r="C78" i="5"/>
  <c r="G78" i="5"/>
  <c r="H78" i="5"/>
  <c r="I78" i="5"/>
  <c r="B78" i="5"/>
  <c r="C77" i="5"/>
  <c r="G77" i="5"/>
  <c r="H77" i="5"/>
  <c r="I77" i="5"/>
  <c r="B77" i="5"/>
  <c r="L34" i="4" l="1"/>
  <c r="M34" i="4"/>
  <c r="M35" i="4" s="1"/>
  <c r="N34" i="4"/>
  <c r="N35" i="4" s="1"/>
  <c r="O34" i="4"/>
  <c r="P34" i="4"/>
  <c r="Q34" i="4"/>
  <c r="Q35" i="4" s="1"/>
  <c r="L35" i="4"/>
  <c r="O35" i="4"/>
  <c r="P35" i="4"/>
  <c r="K34" i="4"/>
  <c r="K35" i="4" s="1"/>
  <c r="L21" i="4"/>
  <c r="L22" i="4" s="1"/>
  <c r="M21" i="4"/>
  <c r="M22" i="4" s="1"/>
  <c r="N21" i="4"/>
  <c r="N22" i="4" s="1"/>
  <c r="O21" i="4"/>
  <c r="O22" i="4" s="1"/>
  <c r="P21" i="4"/>
  <c r="P22" i="4" s="1"/>
  <c r="Q21" i="4"/>
  <c r="Q22" i="4" s="1"/>
  <c r="K21" i="4"/>
  <c r="K22" i="4" s="1"/>
  <c r="L18" i="4"/>
  <c r="L19" i="4" s="1"/>
  <c r="M18" i="4"/>
  <c r="N18" i="4"/>
  <c r="N19" i="4" s="1"/>
  <c r="O18" i="4"/>
  <c r="O19" i="4" s="1"/>
  <c r="P18" i="4"/>
  <c r="P19" i="4" s="1"/>
  <c r="Q18" i="4"/>
  <c r="Q19" i="4" s="1"/>
  <c r="K18" i="4"/>
  <c r="K19" i="4" s="1"/>
  <c r="M19" i="4" l="1"/>
  <c r="J19" i="4" s="1"/>
  <c r="J18" i="4"/>
  <c r="A8" i="5"/>
  <c r="I13" i="5"/>
  <c r="F13" i="13" s="1"/>
  <c r="H13" i="5"/>
  <c r="E13" i="13" s="1"/>
  <c r="G13" i="5"/>
  <c r="D13" i="13" s="1"/>
  <c r="C13" i="5"/>
  <c r="C13" i="13" s="1"/>
  <c r="B13" i="5"/>
  <c r="B13" i="13" s="1"/>
  <c r="P14" i="4" l="1"/>
  <c r="P15" i="4" s="1"/>
  <c r="P16" i="4" s="1"/>
  <c r="O14" i="4"/>
  <c r="L18" i="2"/>
  <c r="Q14" i="4" s="1"/>
  <c r="K18" i="2"/>
  <c r="J18" i="2"/>
  <c r="I18" i="2"/>
  <c r="N14" i="4" s="1"/>
  <c r="N15" i="4" s="1"/>
  <c r="N16" i="4" s="1"/>
  <c r="H18" i="2"/>
  <c r="M14" i="4" s="1"/>
  <c r="G18" i="2"/>
  <c r="L14" i="4" s="1"/>
  <c r="L15" i="4" s="1"/>
  <c r="L16" i="4" s="1"/>
  <c r="F18" i="2"/>
  <c r="K14" i="4" s="1"/>
  <c r="C8" i="5"/>
  <c r="G8" i="5"/>
  <c r="H8" i="5"/>
  <c r="I8" i="5"/>
  <c r="B8" i="5"/>
  <c r="I14" i="5"/>
  <c r="H14" i="5"/>
  <c r="H42" i="5" s="1"/>
  <c r="E42" i="13" s="1"/>
  <c r="G14" i="5"/>
  <c r="C14" i="5"/>
  <c r="B14" i="5"/>
  <c r="B42" i="5" s="1"/>
  <c r="B42" i="13" s="1"/>
  <c r="I19" i="4"/>
  <c r="H19" i="4" s="1"/>
  <c r="G19" i="4" s="1"/>
  <c r="F19" i="4" s="1"/>
  <c r="I18" i="4"/>
  <c r="H18" i="4" s="1"/>
  <c r="G18" i="4" s="1"/>
  <c r="F18" i="4" s="1"/>
  <c r="L30" i="4"/>
  <c r="M30" i="4"/>
  <c r="N30" i="4"/>
  <c r="O30" i="4"/>
  <c r="P30" i="4"/>
  <c r="Q30" i="4"/>
  <c r="K30" i="4"/>
  <c r="K48" i="4"/>
  <c r="L48" i="4"/>
  <c r="M48" i="4"/>
  <c r="N48" i="4"/>
  <c r="O48" i="4"/>
  <c r="P48" i="4"/>
  <c r="K47" i="4"/>
  <c r="L47" i="4"/>
  <c r="M47" i="4"/>
  <c r="N47" i="4"/>
  <c r="O47" i="4"/>
  <c r="P47" i="4"/>
  <c r="L27" i="4"/>
  <c r="L28" i="4" s="1"/>
  <c r="L29" i="4" s="1"/>
  <c r="M27" i="4"/>
  <c r="N27" i="4"/>
  <c r="N28" i="4" s="1"/>
  <c r="N29" i="4" s="1"/>
  <c r="O27" i="4"/>
  <c r="O28" i="4" s="1"/>
  <c r="O29" i="4" s="1"/>
  <c r="P27" i="4"/>
  <c r="P28" i="4" s="1"/>
  <c r="P29" i="4" s="1"/>
  <c r="Q27" i="4"/>
  <c r="Q28" i="4" s="1"/>
  <c r="Q29" i="4" s="1"/>
  <c r="K27" i="4"/>
  <c r="K28" i="4" s="1"/>
  <c r="K29" i="4" s="1"/>
  <c r="L24" i="4"/>
  <c r="L25" i="4" s="1"/>
  <c r="L26" i="4" s="1"/>
  <c r="M24" i="4"/>
  <c r="N24" i="4"/>
  <c r="N25" i="4" s="1"/>
  <c r="N26" i="4" s="1"/>
  <c r="O24" i="4"/>
  <c r="O25" i="4" s="1"/>
  <c r="O26" i="4" s="1"/>
  <c r="P24" i="4"/>
  <c r="P25" i="4" s="1"/>
  <c r="P26" i="4" s="1"/>
  <c r="Q24" i="4"/>
  <c r="Q25" i="4" s="1"/>
  <c r="Q26" i="4" s="1"/>
  <c r="K24" i="4"/>
  <c r="K25" i="4" s="1"/>
  <c r="K26" i="4" s="1"/>
  <c r="G10" i="1"/>
  <c r="L11" i="4"/>
  <c r="M11" i="4"/>
  <c r="N11" i="4"/>
  <c r="O11" i="4"/>
  <c r="P11" i="4"/>
  <c r="Q11" i="4"/>
  <c r="K11" i="4"/>
  <c r="B40" i="5"/>
  <c r="C40" i="5"/>
  <c r="G40" i="5"/>
  <c r="D40" i="13" s="1"/>
  <c r="D69" i="13" s="1"/>
  <c r="H40" i="5"/>
  <c r="I40" i="5"/>
  <c r="B74" i="5"/>
  <c r="G74" i="5"/>
  <c r="B82" i="5"/>
  <c r="C82" i="5"/>
  <c r="G82" i="5"/>
  <c r="H82" i="5"/>
  <c r="I82" i="5"/>
  <c r="E53" i="6" l="1"/>
  <c r="D14" i="13"/>
  <c r="G15" i="5"/>
  <c r="D15" i="13" s="1"/>
  <c r="Q15" i="4"/>
  <c r="Q16" i="4" s="1"/>
  <c r="P46" i="4"/>
  <c r="C14" i="13"/>
  <c r="C76" i="13" s="1"/>
  <c r="C42" i="5"/>
  <c r="C42" i="13" s="1"/>
  <c r="G42" i="5"/>
  <c r="M46" i="4"/>
  <c r="C69" i="5"/>
  <c r="C40" i="13"/>
  <c r="C69" i="13" s="1"/>
  <c r="I69" i="5"/>
  <c r="F40" i="13"/>
  <c r="F69" i="13" s="1"/>
  <c r="B69" i="5"/>
  <c r="B40" i="13"/>
  <c r="B69" i="13" s="1"/>
  <c r="H69" i="5"/>
  <c r="E40" i="13"/>
  <c r="E69" i="13" s="1"/>
  <c r="D79" i="13"/>
  <c r="D76" i="13"/>
  <c r="D80" i="13"/>
  <c r="D81" i="13"/>
  <c r="H81" i="5"/>
  <c r="E14" i="13"/>
  <c r="B81" i="5"/>
  <c r="B14" i="13"/>
  <c r="I81" i="5"/>
  <c r="F14" i="13"/>
  <c r="C81" i="13"/>
  <c r="L46" i="4"/>
  <c r="M15" i="4"/>
  <c r="M25" i="4"/>
  <c r="C76" i="5"/>
  <c r="C81" i="5"/>
  <c r="M28" i="4"/>
  <c r="G81" i="5"/>
  <c r="I53" i="6"/>
  <c r="I48" i="9"/>
  <c r="G69" i="5"/>
  <c r="E31" i="6"/>
  <c r="G31" i="6" s="1"/>
  <c r="I31" i="6" s="1"/>
  <c r="C79" i="5"/>
  <c r="O12" i="4"/>
  <c r="O13" i="4" s="1"/>
  <c r="N12" i="4"/>
  <c r="N13" i="4" s="1"/>
  <c r="Q12" i="4"/>
  <c r="Q13" i="4" s="1"/>
  <c r="M12" i="4"/>
  <c r="P12" i="4"/>
  <c r="P13" i="4" s="1"/>
  <c r="L12" i="4"/>
  <c r="L13" i="4" s="1"/>
  <c r="K12" i="4"/>
  <c r="K13" i="4" s="1"/>
  <c r="N46" i="4"/>
  <c r="O15" i="4"/>
  <c r="O16" i="4" s="1"/>
  <c r="K46" i="4"/>
  <c r="K15" i="4"/>
  <c r="C80" i="5"/>
  <c r="O31" i="4"/>
  <c r="O32" i="4" s="1"/>
  <c r="O52" i="4"/>
  <c r="M31" i="4"/>
  <c r="M52" i="4"/>
  <c r="K31" i="4"/>
  <c r="K32" i="4" s="1"/>
  <c r="K52" i="4"/>
  <c r="N31" i="4"/>
  <c r="N32" i="4" s="1"/>
  <c r="N52" i="4"/>
  <c r="Q31" i="4"/>
  <c r="Q32" i="4" s="1"/>
  <c r="Q52" i="4"/>
  <c r="P31" i="4"/>
  <c r="P32" i="4" s="1"/>
  <c r="P52" i="4"/>
  <c r="L31" i="4"/>
  <c r="L32" i="4" s="1"/>
  <c r="L52" i="4"/>
  <c r="H80" i="5"/>
  <c r="H76" i="5"/>
  <c r="B79" i="5"/>
  <c r="B76" i="5"/>
  <c r="I79" i="5"/>
  <c r="I76" i="5"/>
  <c r="H79" i="5"/>
  <c r="G79" i="5"/>
  <c r="G76" i="5"/>
  <c r="K19" i="2"/>
  <c r="P8" i="4" s="1"/>
  <c r="P9" i="4" s="1"/>
  <c r="P10" i="4" s="1"/>
  <c r="B80" i="5"/>
  <c r="I80" i="5"/>
  <c r="L19" i="2"/>
  <c r="Q8" i="4" s="1"/>
  <c r="Q9" i="4" s="1"/>
  <c r="Q10" i="4" s="1"/>
  <c r="O46" i="4"/>
  <c r="G80" i="5"/>
  <c r="U47" i="4"/>
  <c r="M45" i="4"/>
  <c r="M50" i="4"/>
  <c r="P51" i="4"/>
  <c r="L51" i="4"/>
  <c r="P45" i="4"/>
  <c r="L50" i="4"/>
  <c r="O45" i="4"/>
  <c r="O50" i="4"/>
  <c r="N51" i="4"/>
  <c r="K45" i="4"/>
  <c r="N45" i="4"/>
  <c r="K50" i="4"/>
  <c r="N50" i="4"/>
  <c r="M51" i="4"/>
  <c r="L45" i="4"/>
  <c r="P50" i="4"/>
  <c r="O51" i="4"/>
  <c r="K51" i="4"/>
  <c r="S47" i="4"/>
  <c r="J17" i="4" s="1"/>
  <c r="T47" i="4"/>
  <c r="Q41" i="4"/>
  <c r="P6" i="4"/>
  <c r="P41" i="4" s="1"/>
  <c r="O6" i="4"/>
  <c r="O41" i="4" s="1"/>
  <c r="N6" i="4"/>
  <c r="N41" i="4" s="1"/>
  <c r="M6" i="4"/>
  <c r="M41" i="4" s="1"/>
  <c r="L6" i="4"/>
  <c r="L41" i="4" s="1"/>
  <c r="K6" i="4"/>
  <c r="K41" i="4" s="1"/>
  <c r="I1" i="4"/>
  <c r="E1" i="4"/>
  <c r="A1" i="4"/>
  <c r="I1" i="2"/>
  <c r="I1" i="1"/>
  <c r="E1" i="2"/>
  <c r="E1" i="1"/>
  <c r="G4" i="2"/>
  <c r="H4" i="2"/>
  <c r="I4" i="2"/>
  <c r="J4" i="2"/>
  <c r="K4" i="2"/>
  <c r="F4" i="2"/>
  <c r="F4" i="1"/>
  <c r="G4" i="1"/>
  <c r="H4" i="1"/>
  <c r="I4" i="1"/>
  <c r="J4" i="1"/>
  <c r="E4" i="1"/>
  <c r="A1" i="2"/>
  <c r="A1" i="1"/>
  <c r="D42" i="13" l="1"/>
  <c r="F42" i="5"/>
  <c r="E42" i="5" s="1"/>
  <c r="D42" i="5" s="1"/>
  <c r="C79" i="13"/>
  <c r="C80" i="13"/>
  <c r="Q37" i="4"/>
  <c r="F80" i="13"/>
  <c r="F81" i="13"/>
  <c r="F76" i="13"/>
  <c r="F79" i="13"/>
  <c r="E79" i="13"/>
  <c r="E76" i="13"/>
  <c r="E81" i="13"/>
  <c r="E80" i="13"/>
  <c r="B80" i="13"/>
  <c r="B81" i="13"/>
  <c r="B76" i="13"/>
  <c r="B79" i="13"/>
  <c r="T46" i="4"/>
  <c r="P37" i="4"/>
  <c r="P38" i="4" s="1"/>
  <c r="P39" i="4" s="1"/>
  <c r="U46" i="4"/>
  <c r="M16" i="4"/>
  <c r="J16" i="4" s="1"/>
  <c r="J15" i="4"/>
  <c r="I15" i="4" s="1"/>
  <c r="H15" i="4" s="1"/>
  <c r="G15" i="4" s="1"/>
  <c r="F15" i="4" s="1"/>
  <c r="M29" i="4"/>
  <c r="J29" i="4" s="1"/>
  <c r="I29" i="4" s="1"/>
  <c r="H29" i="4" s="1"/>
  <c r="G29" i="4" s="1"/>
  <c r="F29" i="4" s="1"/>
  <c r="J28" i="4"/>
  <c r="I28" i="4" s="1"/>
  <c r="H28" i="4" s="1"/>
  <c r="G28" i="4" s="1"/>
  <c r="F28" i="4" s="1"/>
  <c r="M32" i="4"/>
  <c r="J32" i="4" s="1"/>
  <c r="I32" i="4" s="1"/>
  <c r="H32" i="4" s="1"/>
  <c r="G32" i="4" s="1"/>
  <c r="F32" i="4" s="1"/>
  <c r="J31" i="4"/>
  <c r="I31" i="4" s="1"/>
  <c r="H31" i="4" s="1"/>
  <c r="G31" i="4" s="1"/>
  <c r="F31" i="4" s="1"/>
  <c r="M26" i="4"/>
  <c r="J26" i="4" s="1"/>
  <c r="I26" i="4" s="1"/>
  <c r="H26" i="4" s="1"/>
  <c r="G26" i="4" s="1"/>
  <c r="F26" i="4" s="1"/>
  <c r="J25" i="4"/>
  <c r="I25" i="4" s="1"/>
  <c r="H25" i="4" s="1"/>
  <c r="G25" i="4" s="1"/>
  <c r="F25" i="4" s="1"/>
  <c r="M13" i="4"/>
  <c r="J13" i="4" s="1"/>
  <c r="I13" i="4" s="1"/>
  <c r="H13" i="4" s="1"/>
  <c r="G13" i="4" s="1"/>
  <c r="F13" i="4" s="1"/>
  <c r="J12" i="4"/>
  <c r="I12" i="4" s="1"/>
  <c r="H12" i="4" s="1"/>
  <c r="G12" i="4" s="1"/>
  <c r="F12" i="4" s="1"/>
  <c r="S46" i="4"/>
  <c r="J14" i="4" s="1"/>
  <c r="I14" i="4" s="1"/>
  <c r="H14" i="4" s="1"/>
  <c r="G14" i="4" s="1"/>
  <c r="F14" i="4" s="1"/>
  <c r="K16" i="4"/>
  <c r="T52" i="4"/>
  <c r="S52" i="4"/>
  <c r="U52" i="4"/>
  <c r="P44" i="4"/>
  <c r="Q38" i="4"/>
  <c r="Q39" i="4" s="1"/>
  <c r="I17" i="4"/>
  <c r="H17" i="4" s="1"/>
  <c r="G17" i="4" s="1"/>
  <c r="F17" i="4" s="1"/>
  <c r="T50" i="4"/>
  <c r="T51" i="4"/>
  <c r="S45" i="4"/>
  <c r="J11" i="4" s="1"/>
  <c r="U51" i="4"/>
  <c r="T45" i="4"/>
  <c r="U50" i="4"/>
  <c r="U45" i="4"/>
  <c r="S51" i="4"/>
  <c r="J27" i="4" s="1"/>
  <c r="S50" i="4"/>
  <c r="J24" i="4" s="1"/>
  <c r="K10" i="1"/>
  <c r="K15" i="5" s="1"/>
  <c r="H15" i="13" s="1"/>
  <c r="J10" i="1"/>
  <c r="I10" i="1"/>
  <c r="H10" i="1"/>
  <c r="H15" i="5" s="1"/>
  <c r="E15" i="13" s="1"/>
  <c r="F10" i="1"/>
  <c r="E10" i="1"/>
  <c r="K8" i="1"/>
  <c r="J8" i="1"/>
  <c r="J9" i="1" s="1"/>
  <c r="I8" i="1"/>
  <c r="H8" i="1"/>
  <c r="H9" i="1" s="1"/>
  <c r="G8" i="1"/>
  <c r="F8" i="1"/>
  <c r="E8" i="1"/>
  <c r="K6" i="1"/>
  <c r="K12" i="5" s="1"/>
  <c r="G6" i="1"/>
  <c r="I6" i="1" l="1"/>
  <c r="I12" i="5" s="1"/>
  <c r="I15" i="5"/>
  <c r="F15" i="13" s="1"/>
  <c r="K55" i="5"/>
  <c r="K56" i="5"/>
  <c r="K51" i="5"/>
  <c r="K58" i="5"/>
  <c r="K54" i="5"/>
  <c r="K59" i="5"/>
  <c r="H12" i="13"/>
  <c r="K57" i="5"/>
  <c r="J6" i="1"/>
  <c r="J12" i="5" s="1"/>
  <c r="J15" i="5"/>
  <c r="G15" i="13" s="1"/>
  <c r="I9" i="1"/>
  <c r="I16" i="4"/>
  <c r="H16" i="4" s="1"/>
  <c r="G16" i="4" s="1"/>
  <c r="F16" i="4" s="1"/>
  <c r="E9" i="1"/>
  <c r="F6" i="1"/>
  <c r="C15" i="5"/>
  <c r="C15" i="13" s="1"/>
  <c r="E6" i="1"/>
  <c r="B15" i="5"/>
  <c r="B15" i="13" s="1"/>
  <c r="H6" i="1"/>
  <c r="H12" i="5" s="1"/>
  <c r="E12" i="13" s="1"/>
  <c r="G12" i="5"/>
  <c r="J30" i="4"/>
  <c r="I30" i="4" s="1"/>
  <c r="H30" i="4" s="1"/>
  <c r="G30" i="4" s="1"/>
  <c r="F30" i="4" s="1"/>
  <c r="I11" i="4"/>
  <c r="H11" i="4" s="1"/>
  <c r="G11" i="4" s="1"/>
  <c r="F11" i="4" s="1"/>
  <c r="I27" i="4"/>
  <c r="H27" i="4" s="1"/>
  <c r="G27" i="4" s="1"/>
  <c r="F27" i="4" s="1"/>
  <c r="I24" i="4"/>
  <c r="H24" i="4" s="1"/>
  <c r="G24" i="4" s="1"/>
  <c r="F24" i="4" s="1"/>
  <c r="I7" i="1"/>
  <c r="J7" i="1"/>
  <c r="G9" i="1"/>
  <c r="E50" i="6" l="1"/>
  <c r="H7" i="1"/>
  <c r="J54" i="5"/>
  <c r="J52" i="5"/>
  <c r="J51" i="5"/>
  <c r="J56" i="5"/>
  <c r="J59" i="5"/>
  <c r="J57" i="5"/>
  <c r="G12" i="13"/>
  <c r="J53" i="5"/>
  <c r="J58" i="5"/>
  <c r="J55" i="5"/>
  <c r="H58" i="13"/>
  <c r="H57" i="13"/>
  <c r="H54" i="13"/>
  <c r="H55" i="13"/>
  <c r="H56" i="13"/>
  <c r="H59" i="13"/>
  <c r="H51" i="13"/>
  <c r="F12" i="13"/>
  <c r="I54" i="5"/>
  <c r="I56" i="5"/>
  <c r="I51" i="5"/>
  <c r="I55" i="5"/>
  <c r="I59" i="5"/>
  <c r="I53" i="5"/>
  <c r="I58" i="5"/>
  <c r="I52" i="5"/>
  <c r="I57" i="5"/>
  <c r="G7" i="1"/>
  <c r="H57" i="5"/>
  <c r="B12" i="5"/>
  <c r="B51" i="5" s="1"/>
  <c r="H58" i="5"/>
  <c r="H53" i="5"/>
  <c r="C12" i="5"/>
  <c r="H54" i="5"/>
  <c r="H59" i="5"/>
  <c r="H55" i="5"/>
  <c r="H56" i="5"/>
  <c r="H51" i="5"/>
  <c r="H52" i="5"/>
  <c r="E51" i="13"/>
  <c r="E56" i="13"/>
  <c r="E59" i="13"/>
  <c r="E55" i="13"/>
  <c r="E53" i="13"/>
  <c r="E52" i="13"/>
  <c r="E57" i="13"/>
  <c r="E54" i="13"/>
  <c r="E58" i="13"/>
  <c r="D12" i="13"/>
  <c r="E42" i="6"/>
  <c r="G42" i="6" s="1"/>
  <c r="I42" i="6" s="1"/>
  <c r="G55" i="5"/>
  <c r="G53" i="5"/>
  <c r="G57" i="5"/>
  <c r="I50" i="6"/>
  <c r="E34" i="6"/>
  <c r="G34" i="6" s="1"/>
  <c r="I34" i="6" s="1"/>
  <c r="G59" i="5"/>
  <c r="G56" i="5"/>
  <c r="G52" i="5"/>
  <c r="G51" i="5"/>
  <c r="G58" i="5"/>
  <c r="G54" i="5"/>
  <c r="B17" i="5"/>
  <c r="B17" i="13" s="1"/>
  <c r="B22" i="5"/>
  <c r="B22" i="13" s="1"/>
  <c r="F19" i="2"/>
  <c r="K8" i="4" s="1"/>
  <c r="K37" i="4" s="1"/>
  <c r="B56" i="5" l="1"/>
  <c r="B59" i="5"/>
  <c r="B58" i="5"/>
  <c r="B55" i="5"/>
  <c r="B57" i="5"/>
  <c r="B53" i="5"/>
  <c r="B12" i="13"/>
  <c r="B54" i="13" s="1"/>
  <c r="B52" i="5"/>
  <c r="G55" i="13"/>
  <c r="G54" i="13"/>
  <c r="G59" i="13"/>
  <c r="G53" i="13"/>
  <c r="G58" i="13"/>
  <c r="G57" i="13"/>
  <c r="G52" i="13"/>
  <c r="G51" i="13"/>
  <c r="G56" i="13"/>
  <c r="F59" i="13"/>
  <c r="F53" i="13"/>
  <c r="F58" i="13"/>
  <c r="F55" i="13"/>
  <c r="F56" i="13"/>
  <c r="F52" i="13"/>
  <c r="F51" i="13"/>
  <c r="F54" i="13"/>
  <c r="F57" i="13"/>
  <c r="B54" i="5"/>
  <c r="C12" i="13"/>
  <c r="C57" i="5"/>
  <c r="C56" i="5"/>
  <c r="C54" i="5"/>
  <c r="C55" i="5"/>
  <c r="C51" i="5"/>
  <c r="C59" i="5"/>
  <c r="C53" i="5"/>
  <c r="C52" i="5"/>
  <c r="C58" i="5"/>
  <c r="E32" i="8"/>
  <c r="G32" i="8" s="1"/>
  <c r="I32" i="8" s="1"/>
  <c r="D52" i="13"/>
  <c r="D51" i="13"/>
  <c r="E24" i="8"/>
  <c r="G24" i="8" s="1"/>
  <c r="I24" i="8" s="1"/>
  <c r="D56" i="13"/>
  <c r="D57" i="13"/>
  <c r="E33" i="9"/>
  <c r="G33" i="9" s="1"/>
  <c r="I33" i="9" s="1"/>
  <c r="D53" i="13"/>
  <c r="D55" i="13"/>
  <c r="D59" i="13"/>
  <c r="D58" i="13"/>
  <c r="D54" i="13"/>
  <c r="B65" i="13"/>
  <c r="B64" i="13"/>
  <c r="B68" i="13"/>
  <c r="B66" i="13"/>
  <c r="B67" i="13"/>
  <c r="B64" i="5"/>
  <c r="B23" i="5"/>
  <c r="B23" i="13" s="1"/>
  <c r="B68" i="5"/>
  <c r="B66" i="5"/>
  <c r="B67" i="5"/>
  <c r="K9" i="4"/>
  <c r="B65" i="5"/>
  <c r="B52" i="13" l="1"/>
  <c r="B51" i="13"/>
  <c r="B58" i="13"/>
  <c r="B55" i="13"/>
  <c r="B53" i="13"/>
  <c r="B56" i="13"/>
  <c r="B59" i="13"/>
  <c r="B57" i="13"/>
  <c r="C58" i="13"/>
  <c r="C51" i="13"/>
  <c r="C52" i="13"/>
  <c r="C53" i="13"/>
  <c r="C56" i="13"/>
  <c r="C59" i="13"/>
  <c r="C57" i="13"/>
  <c r="C54" i="13"/>
  <c r="C55" i="13"/>
  <c r="K10" i="4"/>
  <c r="K38" i="4"/>
  <c r="K39" i="4" s="1"/>
  <c r="C17" i="5" l="1"/>
  <c r="C17" i="13" s="1"/>
  <c r="C22" i="5"/>
  <c r="C22" i="13" s="1"/>
  <c r="G19" i="2"/>
  <c r="L8" i="4" s="1"/>
  <c r="L37" i="4" s="1"/>
  <c r="C64" i="13" l="1"/>
  <c r="C65" i="13"/>
  <c r="C68" i="13"/>
  <c r="C66" i="13"/>
  <c r="C67" i="13"/>
  <c r="C65" i="5"/>
  <c r="C23" i="5"/>
  <c r="C23" i="13" s="1"/>
  <c r="L9" i="4"/>
  <c r="L10" i="4" s="1"/>
  <c r="L38" i="4"/>
  <c r="L39" i="4" s="1"/>
  <c r="K44" i="4"/>
  <c r="C68" i="5"/>
  <c r="C67" i="5"/>
  <c r="C66" i="5"/>
  <c r="C64" i="5"/>
  <c r="G17" i="5"/>
  <c r="G22" i="5"/>
  <c r="D22" i="13" s="1"/>
  <c r="H19" i="2"/>
  <c r="M8" i="4" s="1"/>
  <c r="G23" i="5" l="1"/>
  <c r="D23" i="13" s="1"/>
  <c r="D17" i="13"/>
  <c r="D66" i="13"/>
  <c r="D67" i="13"/>
  <c r="D68" i="13"/>
  <c r="M37" i="4"/>
  <c r="M38" i="4" s="1"/>
  <c r="M39" i="4" s="1"/>
  <c r="G64" i="5"/>
  <c r="G65" i="5"/>
  <c r="M9" i="4"/>
  <c r="L44" i="4"/>
  <c r="G67" i="5"/>
  <c r="G66" i="5"/>
  <c r="G68" i="5"/>
  <c r="D65" i="13" l="1"/>
  <c r="D64" i="13"/>
  <c r="M10" i="4"/>
  <c r="J10" i="4" s="1"/>
  <c r="J9" i="4"/>
  <c r="T44" i="4"/>
  <c r="H17" i="5"/>
  <c r="E45" i="6" s="1"/>
  <c r="H22" i="5"/>
  <c r="E22" i="13" s="1"/>
  <c r="I19" i="2"/>
  <c r="N8" i="4" s="1"/>
  <c r="N37" i="4" s="1"/>
  <c r="H23" i="5" l="1"/>
  <c r="E23" i="13" s="1"/>
  <c r="E17" i="13"/>
  <c r="E36" i="9" s="1"/>
  <c r="E67" i="13"/>
  <c r="E68" i="13"/>
  <c r="E66" i="13"/>
  <c r="I9" i="4"/>
  <c r="J38" i="4"/>
  <c r="J39" i="4"/>
  <c r="I10" i="4"/>
  <c r="I45" i="6"/>
  <c r="E39" i="6"/>
  <c r="G39" i="6" s="1"/>
  <c r="I39" i="6" s="1"/>
  <c r="I44" i="9"/>
  <c r="I40" i="8"/>
  <c r="I43" i="8" s="1"/>
  <c r="I45" i="8" s="1"/>
  <c r="I52" i="8" s="1"/>
  <c r="H64" i="5"/>
  <c r="H67" i="5"/>
  <c r="H66" i="5"/>
  <c r="H68" i="5"/>
  <c r="M44" i="4"/>
  <c r="N38" i="4"/>
  <c r="N39" i="4" s="1"/>
  <c r="N9" i="4"/>
  <c r="N10" i="4" s="1"/>
  <c r="H65" i="5"/>
  <c r="I56" i="6" l="1"/>
  <c r="I58" i="6" s="1"/>
  <c r="I65" i="6" s="1"/>
  <c r="AA6" i="14" s="1"/>
  <c r="AA8" i="14" s="1"/>
  <c r="G36" i="9"/>
  <c r="I36" i="9" s="1"/>
  <c r="E39" i="9"/>
  <c r="G39" i="9" s="1"/>
  <c r="I39" i="9" s="1"/>
  <c r="E35" i="8"/>
  <c r="G35" i="8" s="1"/>
  <c r="I35" i="8" s="1"/>
  <c r="E64" i="13"/>
  <c r="E65" i="13"/>
  <c r="I39" i="4"/>
  <c r="H10" i="4"/>
  <c r="H9" i="4"/>
  <c r="I38" i="4"/>
  <c r="U44" i="4"/>
  <c r="I17" i="5"/>
  <c r="I22" i="5"/>
  <c r="J19" i="2"/>
  <c r="O8" i="4" s="1"/>
  <c r="AF6" i="7" l="1"/>
  <c r="AF8" i="7" s="1"/>
  <c r="I54" i="8" s="1"/>
  <c r="I56" i="8" s="1"/>
  <c r="AF6" i="11"/>
  <c r="AF8" i="11" s="1"/>
  <c r="I50" i="9"/>
  <c r="I52" i="9" s="1"/>
  <c r="I59" i="9" s="1"/>
  <c r="I23" i="5"/>
  <c r="F23" i="13" s="1"/>
  <c r="F17" i="13"/>
  <c r="I67" i="5"/>
  <c r="F22" i="13"/>
  <c r="H38" i="4"/>
  <c r="G9" i="4"/>
  <c r="G10" i="4"/>
  <c r="H39" i="4"/>
  <c r="O44" i="4"/>
  <c r="O37" i="4"/>
  <c r="I64" i="5"/>
  <c r="I65" i="5"/>
  <c r="I68" i="5"/>
  <c r="I66" i="5"/>
  <c r="N44" i="4"/>
  <c r="S44" i="4" s="1"/>
  <c r="J8" i="4" s="1"/>
  <c r="O9" i="4"/>
  <c r="O10" i="4" s="1"/>
  <c r="I61" i="9" l="1"/>
  <c r="I67" i="6"/>
  <c r="I63" i="9"/>
  <c r="F65" i="13"/>
  <c r="F64" i="13"/>
  <c r="F68" i="13"/>
  <c r="F67" i="13"/>
  <c r="F66" i="13"/>
  <c r="F10" i="4"/>
  <c r="F39" i="4" s="1"/>
  <c r="G39" i="4"/>
  <c r="F9" i="4"/>
  <c r="F38" i="4" s="1"/>
  <c r="G38" i="4"/>
  <c r="J37" i="4"/>
  <c r="I8" i="4"/>
  <c r="O38" i="4"/>
  <c r="O39" i="4" s="1"/>
  <c r="I37" i="4" l="1"/>
  <c r="H8" i="4"/>
  <c r="G8" i="4" l="1"/>
  <c r="H37" i="4"/>
  <c r="G37" i="4" l="1"/>
  <c r="F8" i="4"/>
  <c r="F37" i="4" s="1"/>
</calcChain>
</file>

<file path=xl/comments1.xml><?xml version="1.0" encoding="utf-8"?>
<comments xmlns="http://schemas.openxmlformats.org/spreadsheetml/2006/main">
  <authors>
    <author>Domroes, Stephen</author>
  </authors>
  <commentList>
    <comment ref="E11" authorId="0">
      <text>
        <r>
          <rPr>
            <sz val="9"/>
            <color indexed="81"/>
            <rFont val="Tahoma"/>
            <family val="2"/>
          </rPr>
          <t xml:space="preserve">The riskier of the country where the ultimate parent is domiciled or where the actual counterpart is domiciled; this rating shall serve as the ceiling for the overall counterpart rating
</t>
        </r>
      </text>
    </comment>
    <comment ref="E15" authorId="0">
      <text>
        <r>
          <rPr>
            <sz val="9"/>
            <color indexed="81"/>
            <rFont val="Tahoma"/>
            <family val="2"/>
          </rPr>
          <t xml:space="preserve">If the counterpart has been recently established/acquired and is part of a more mature operation which has significant influence over the counterparty, the years in business of the more mature operation can be selected.
</t>
        </r>
      </text>
    </comment>
    <comment ref="E19" authorId="0">
      <text>
        <r>
          <rPr>
            <b/>
            <sz val="9"/>
            <color indexed="81"/>
            <rFont val="Tahoma"/>
            <family val="2"/>
          </rPr>
          <t xml:space="preserve">Exceptional:  </t>
        </r>
        <r>
          <rPr>
            <sz val="9"/>
            <color indexed="81"/>
            <rFont val="Tahoma"/>
            <family val="2"/>
          </rPr>
          <t xml:space="preserve">Exceptionally stable cash flow prospects. Little or no cyclical or commodity sensitivity. Conservative strategy. 
</t>
        </r>
        <r>
          <rPr>
            <b/>
            <sz val="9"/>
            <color indexed="81"/>
            <rFont val="Tahoma"/>
            <family val="2"/>
          </rPr>
          <t>Good:</t>
        </r>
        <r>
          <rPr>
            <sz val="9"/>
            <color indexed="81"/>
            <rFont val="Tahoma"/>
            <family val="2"/>
          </rPr>
          <t xml:space="preserve">  Good, but not exceptional, cash flow stability. Modest cyclical or commodity exposure or volumetric risk. 
</t>
        </r>
        <r>
          <rPr>
            <b/>
            <sz val="9"/>
            <color indexed="81"/>
            <rFont val="Tahoma"/>
            <family val="2"/>
          </rPr>
          <t xml:space="preserve">Moderate:  </t>
        </r>
        <r>
          <rPr>
            <sz val="9"/>
            <color indexed="81"/>
            <rFont val="Tahoma"/>
            <family val="2"/>
          </rPr>
          <t xml:space="preserve">Subject to multiple modest or moderate business risks. Exposures are partially but not fully mitigated, whether by choice or due to circumstances. 
</t>
        </r>
        <r>
          <rPr>
            <b/>
            <sz val="9"/>
            <color indexed="81"/>
            <rFont val="Tahoma"/>
            <family val="2"/>
          </rPr>
          <t>Moderately Aggressive</t>
        </r>
        <r>
          <rPr>
            <sz val="9"/>
            <color indexed="81"/>
            <rFont val="Tahoma"/>
            <family val="2"/>
          </rPr>
          <t xml:space="preserve">:  Exposure to event risk or greater commodity price sensitivity. Moderately aggressive business plan.
</t>
        </r>
        <r>
          <rPr>
            <b/>
            <sz val="9"/>
            <color indexed="81"/>
            <rFont val="Tahoma"/>
            <family val="2"/>
          </rPr>
          <t xml:space="preserve">Aggressive:  </t>
        </r>
        <r>
          <rPr>
            <sz val="9"/>
            <color indexed="81"/>
            <rFont val="Tahoma"/>
            <family val="2"/>
          </rPr>
          <t>Subject to material commodity sensitivity, market risk or cyclical variation. Aggressive strategy.</t>
        </r>
      </text>
    </comment>
    <comment ref="E24" authorId="0">
      <text>
        <r>
          <rPr>
            <b/>
            <sz val="9"/>
            <color indexed="81"/>
            <rFont val="Tahoma"/>
            <family val="2"/>
          </rPr>
          <t xml:space="preserve">Sources </t>
        </r>
        <r>
          <rPr>
            <sz val="9"/>
            <color indexed="81"/>
            <rFont val="Tahoma"/>
            <family val="2"/>
          </rPr>
          <t>typically</t>
        </r>
        <r>
          <rPr>
            <b/>
            <sz val="9"/>
            <color indexed="81"/>
            <rFont val="Tahoma"/>
            <family val="2"/>
          </rPr>
          <t xml:space="preserve"> </t>
        </r>
        <r>
          <rPr>
            <sz val="9"/>
            <color indexed="81"/>
            <rFont val="Tahoma"/>
            <family val="2"/>
          </rPr>
          <t xml:space="preserve">include unrestircted cash/equiv, funds from operations, working capital surplus, committed revolver availability (can tangentially include access to capital markets and/or member capital contributions); </t>
        </r>
        <r>
          <rPr>
            <b/>
            <sz val="9"/>
            <color indexed="81"/>
            <rFont val="Tahoma"/>
            <family val="2"/>
          </rPr>
          <t>Uses</t>
        </r>
        <r>
          <rPr>
            <sz val="9"/>
            <color indexed="81"/>
            <rFont val="Tahoma"/>
            <family val="2"/>
          </rPr>
          <t xml:space="preserve"> typically include capex, upcoming debt maturities, dividends, working capital requirements, stock/debt repurchases (also take into account outstanding debt due on demand)
_____</t>
        </r>
        <r>
          <rPr>
            <b/>
            <sz val="9"/>
            <color indexed="81"/>
            <rFont val="Tahoma"/>
            <family val="2"/>
          </rPr>
          <t xml:space="preserve">
Exceptional:</t>
        </r>
        <r>
          <rPr>
            <sz val="9"/>
            <color indexed="81"/>
            <rFont val="Tahoma"/>
            <family val="2"/>
          </rPr>
          <t xml:space="preserve">  No liquidity concerns; sources provide a significant buffer over uses and addtional liquidity can be easily obtained through alternative sources; can easily withstand extreme liquidity events
</t>
        </r>
        <r>
          <rPr>
            <b/>
            <sz val="9"/>
            <color indexed="81"/>
            <rFont val="Tahoma"/>
            <family val="2"/>
          </rPr>
          <t>Strong:</t>
        </r>
        <r>
          <rPr>
            <sz val="9"/>
            <color indexed="81"/>
            <rFont val="Tahoma"/>
            <family val="2"/>
          </rPr>
          <t xml:space="preserve">  Minimal liquidity concerns; sources provide an ample buffer over uses and addtional liquidity can be reasonably obtained through alternative sources; can easily withstand most extreme liquidity events
</t>
        </r>
        <r>
          <rPr>
            <b/>
            <sz val="9"/>
            <color indexed="81"/>
            <rFont val="Tahoma"/>
            <family val="2"/>
          </rPr>
          <t xml:space="preserve">Moderate:  </t>
        </r>
        <r>
          <rPr>
            <sz val="9"/>
            <color indexed="81"/>
            <rFont val="Tahoma"/>
            <family val="2"/>
          </rPr>
          <t xml:space="preserve">Some liquidity concerns; sources provide a minimal buffer over uses but additonal liquidty should be able to be obtained through alternative sources; some question whether it can withstand certain extreme liqudity events
</t>
        </r>
        <r>
          <rPr>
            <b/>
            <sz val="9"/>
            <color indexed="81"/>
            <rFont val="Tahoma"/>
            <family val="2"/>
          </rPr>
          <t>Moderately Constrained</t>
        </r>
        <r>
          <rPr>
            <sz val="9"/>
            <color indexed="81"/>
            <rFont val="Tahoma"/>
            <family val="2"/>
          </rPr>
          <t xml:space="preserve">:  Liquidity concerns; sources provide a minimal buffer/slight deficit to uses, access to additonal liquidity is somewhat quesitonable, may be potential for covenant breaches; likley not able to withstand certain extreme liqudity events
</t>
        </r>
        <r>
          <rPr>
            <b/>
            <sz val="9"/>
            <color indexed="81"/>
            <rFont val="Tahoma"/>
            <family val="2"/>
          </rPr>
          <t xml:space="preserve">Constrained:  </t>
        </r>
        <r>
          <rPr>
            <sz val="9"/>
            <color indexed="81"/>
            <rFont val="Tahoma"/>
            <family val="2"/>
          </rPr>
          <t>Material liquidity concerns; sources not able to cover uses, addtional liquidity will be required, high potential for covenant breaches, access to addtional liquidty is extremely questionable</t>
        </r>
      </text>
    </comment>
    <comment ref="E27" authorId="0">
      <text>
        <r>
          <rPr>
            <sz val="9"/>
            <color indexed="81"/>
            <rFont val="Tahoma"/>
            <family val="2"/>
          </rPr>
          <t xml:space="preserve">Select the outlook of the primary industry that the companies operations are engaged in; if the company is a conglomerate and involved in numerous industries, select an option that represents an overall or weighted averge outlook =&gt; this data can be found in multiple places e.g. rating agency reports, consulting firm reports.
</t>
        </r>
      </text>
    </comment>
  </commentList>
</comments>
</file>

<file path=xl/comments2.xml><?xml version="1.0" encoding="utf-8"?>
<comments xmlns="http://schemas.openxmlformats.org/spreadsheetml/2006/main">
  <authors>
    <author>Domroes, Stephen</author>
  </authors>
  <commentList>
    <comment ref="E11" authorId="0">
      <text>
        <r>
          <rPr>
            <sz val="9"/>
            <color indexed="81"/>
            <rFont val="Tahoma"/>
            <family val="2"/>
          </rPr>
          <t xml:space="preserve">The riskier of the country where the ultimate parent is domiciled or where the actual counterpart is domiciled; this rating shall serve as the ceiling for the overall counterpart rating
</t>
        </r>
      </text>
    </comment>
  </commentList>
</comments>
</file>

<file path=xl/comments3.xml><?xml version="1.0" encoding="utf-8"?>
<comments xmlns="http://schemas.openxmlformats.org/spreadsheetml/2006/main">
  <authors>
    <author>Domroes, Stephen</author>
  </authors>
  <commentList>
    <comment ref="E11" authorId="0">
      <text>
        <r>
          <rPr>
            <sz val="9"/>
            <color indexed="81"/>
            <rFont val="Tahoma"/>
            <family val="2"/>
          </rPr>
          <t xml:space="preserve">The riskier of the country where the ultimate parent is domiciled or where the actual counterpart is domiciled; this rating shall serve as the ceiling for the overall counterpart rating
</t>
        </r>
      </text>
    </comment>
    <comment ref="E15" authorId="0">
      <text>
        <r>
          <rPr>
            <sz val="9"/>
            <color indexed="81"/>
            <rFont val="Tahoma"/>
            <family val="2"/>
          </rPr>
          <t xml:space="preserve">If the counterpart has been recently established/acquired and is part of a more mature operation which has significant influence over the counterparty, the years in business of the more mature operation can be selected.
</t>
        </r>
      </text>
    </comment>
    <comment ref="E19" authorId="0">
      <text>
        <r>
          <rPr>
            <b/>
            <sz val="9"/>
            <color indexed="81"/>
            <rFont val="Tahoma"/>
            <family val="2"/>
          </rPr>
          <t xml:space="preserve">Exceptional:  </t>
        </r>
        <r>
          <rPr>
            <sz val="9"/>
            <color indexed="81"/>
            <rFont val="Tahoma"/>
            <family val="2"/>
          </rPr>
          <t xml:space="preserve">Exceptionally stable cash flow prospects. Little or no cyclical or commodity sensitivity. Conservative strategy. 
</t>
        </r>
        <r>
          <rPr>
            <b/>
            <sz val="9"/>
            <color indexed="81"/>
            <rFont val="Tahoma"/>
            <family val="2"/>
          </rPr>
          <t>Good:</t>
        </r>
        <r>
          <rPr>
            <sz val="9"/>
            <color indexed="81"/>
            <rFont val="Tahoma"/>
            <family val="2"/>
          </rPr>
          <t xml:space="preserve">  Good, but not exceptional, cash flow stability. Modest cyclical or commodity exposure or volumetric risk. 
</t>
        </r>
        <r>
          <rPr>
            <b/>
            <sz val="9"/>
            <color indexed="81"/>
            <rFont val="Tahoma"/>
            <family val="2"/>
          </rPr>
          <t xml:space="preserve">Moderate:  </t>
        </r>
        <r>
          <rPr>
            <sz val="9"/>
            <color indexed="81"/>
            <rFont val="Tahoma"/>
            <family val="2"/>
          </rPr>
          <t xml:space="preserve">Subject to multiple modest or moderate business risks. Exposures are partially but not fully mitigated, whether by choice or due to circumstances. 
</t>
        </r>
        <r>
          <rPr>
            <b/>
            <sz val="9"/>
            <color indexed="81"/>
            <rFont val="Tahoma"/>
            <family val="2"/>
          </rPr>
          <t>Moderately Aggressive</t>
        </r>
        <r>
          <rPr>
            <sz val="9"/>
            <color indexed="81"/>
            <rFont val="Tahoma"/>
            <family val="2"/>
          </rPr>
          <t xml:space="preserve">:  Exposure to event risk or greater commodity price sensitivity. Moderately aggressive business plan.
</t>
        </r>
        <r>
          <rPr>
            <b/>
            <sz val="9"/>
            <color indexed="81"/>
            <rFont val="Tahoma"/>
            <family val="2"/>
          </rPr>
          <t xml:space="preserve">Aggressive:  </t>
        </r>
        <r>
          <rPr>
            <sz val="9"/>
            <color indexed="81"/>
            <rFont val="Tahoma"/>
            <family val="2"/>
          </rPr>
          <t>Subject to material commodity sensitivity, market risk or cyclical variation. Aggressive strategy.</t>
        </r>
      </text>
    </comment>
    <comment ref="E21" authorId="0">
      <text>
        <r>
          <rPr>
            <b/>
            <sz val="9"/>
            <color indexed="81"/>
            <rFont val="Tahoma"/>
            <family val="2"/>
          </rPr>
          <t xml:space="preserve">Exceptional:  </t>
        </r>
        <r>
          <rPr>
            <sz val="9"/>
            <color indexed="81"/>
            <rFont val="Tahoma"/>
            <family val="2"/>
          </rPr>
          <t xml:space="preserve">Exceptionally stable cash flow prospects. Little or no cyclical or commodity sensitivity. Conservative strategy. 
</t>
        </r>
        <r>
          <rPr>
            <b/>
            <sz val="9"/>
            <color indexed="81"/>
            <rFont val="Tahoma"/>
            <family val="2"/>
          </rPr>
          <t>Good:</t>
        </r>
        <r>
          <rPr>
            <sz val="9"/>
            <color indexed="81"/>
            <rFont val="Tahoma"/>
            <family val="2"/>
          </rPr>
          <t xml:space="preserve">  Good, but not exceptional, cash flow stability. Modest cyclical or commodity exposure or volumetric risk. 
</t>
        </r>
        <r>
          <rPr>
            <b/>
            <sz val="9"/>
            <color indexed="81"/>
            <rFont val="Tahoma"/>
            <family val="2"/>
          </rPr>
          <t xml:space="preserve">Moderate:  </t>
        </r>
        <r>
          <rPr>
            <sz val="9"/>
            <color indexed="81"/>
            <rFont val="Tahoma"/>
            <family val="2"/>
          </rPr>
          <t xml:space="preserve">Subject to multiple modest or moderate business risks. Exposures are partially but not fully mitigated, whether by choice or due to circumstances. 
</t>
        </r>
        <r>
          <rPr>
            <b/>
            <sz val="9"/>
            <color indexed="81"/>
            <rFont val="Tahoma"/>
            <family val="2"/>
          </rPr>
          <t>Moderately Aggressive</t>
        </r>
        <r>
          <rPr>
            <sz val="9"/>
            <color indexed="81"/>
            <rFont val="Tahoma"/>
            <family val="2"/>
          </rPr>
          <t xml:space="preserve">:  Exposure to event risk or greater commodity price sensitivity. Moderately aggressive business plan.
</t>
        </r>
        <r>
          <rPr>
            <b/>
            <sz val="9"/>
            <color indexed="81"/>
            <rFont val="Tahoma"/>
            <family val="2"/>
          </rPr>
          <t xml:space="preserve">Aggressive:  </t>
        </r>
        <r>
          <rPr>
            <sz val="9"/>
            <color indexed="81"/>
            <rFont val="Tahoma"/>
            <family val="2"/>
          </rPr>
          <t>Subject to material commodity sensitivity, market risk or cyclical variation. Aggressive strategy.</t>
        </r>
      </text>
    </comment>
  </commentList>
</comments>
</file>

<file path=xl/sharedStrings.xml><?xml version="1.0" encoding="utf-8"?>
<sst xmlns="http://schemas.openxmlformats.org/spreadsheetml/2006/main" count="1869" uniqueCount="502">
  <si>
    <t>Net Income</t>
  </si>
  <si>
    <t>Net interest expense</t>
  </si>
  <si>
    <t>DD&amp;A</t>
  </si>
  <si>
    <t>For period ended</t>
  </si>
  <si>
    <t>Tax expense</t>
  </si>
  <si>
    <t>a</t>
  </si>
  <si>
    <t>b</t>
  </si>
  <si>
    <t>c</t>
  </si>
  <si>
    <t>d</t>
  </si>
  <si>
    <t>e</t>
  </si>
  <si>
    <t>f</t>
  </si>
  <si>
    <t>g</t>
  </si>
  <si>
    <t>h</t>
  </si>
  <si>
    <t>i</t>
  </si>
  <si>
    <t>j</t>
  </si>
  <si>
    <t>Clean EBITDA</t>
  </si>
  <si>
    <t>EBITDA</t>
  </si>
  <si>
    <t>Total EBITDA adjustments</t>
  </si>
  <si>
    <t>Adjustment</t>
  </si>
  <si>
    <t>(gain)/loss</t>
  </si>
  <si>
    <t xml:space="preserve">   Variance</t>
  </si>
  <si>
    <t>Note: This cleaner builds EBITDA from Net Income. It adds back losses and expenses and subtracts income and gains.</t>
  </si>
  <si>
    <t>FFO calculator</t>
  </si>
  <si>
    <t>CFO</t>
  </si>
  <si>
    <r>
      <rPr>
        <i/>
        <sz val="11"/>
        <color theme="1"/>
        <rFont val="Calibri"/>
        <family val="2"/>
      </rPr>
      <t>Δ</t>
    </r>
    <r>
      <rPr>
        <i/>
        <sz val="11"/>
        <color theme="1"/>
        <rFont val="Arial"/>
        <family val="2"/>
      </rPr>
      <t xml:space="preserve"> WC</t>
    </r>
  </si>
  <si>
    <t>Total Δ in WC</t>
  </si>
  <si>
    <t>Counterparty</t>
  </si>
  <si>
    <t>Δ in AR</t>
  </si>
  <si>
    <t>Δ in Inv</t>
  </si>
  <si>
    <t>Δ in AP</t>
  </si>
  <si>
    <t>Δ in Unearned Rev.</t>
  </si>
  <si>
    <t>Δ in Taxes Payab.</t>
  </si>
  <si>
    <t>Δ in Deferred Taxes</t>
  </si>
  <si>
    <t>Δ in other NOA</t>
  </si>
  <si>
    <t>FFO</t>
  </si>
  <si>
    <t>Credit Professional</t>
  </si>
  <si>
    <t>For period(s) ended</t>
  </si>
  <si>
    <t>Date prepared</t>
  </si>
  <si>
    <t>Note: Only enter net operating assets (NOA) in WC adjustments</t>
  </si>
  <si>
    <t>Sources of cash</t>
  </si>
  <si>
    <t>BS cash</t>
  </si>
  <si>
    <t>RCF draw</t>
  </si>
  <si>
    <t>Total Capex</t>
  </si>
  <si>
    <t>Financial Leverage</t>
  </si>
  <si>
    <t>ROA</t>
  </si>
  <si>
    <t>ROE</t>
  </si>
  <si>
    <t>Sales Growth Rate</t>
  </si>
  <si>
    <t>Operating Metrics</t>
  </si>
  <si>
    <t>Current Assets/Current Liab.</t>
  </si>
  <si>
    <t>Current Assets/Total Assets</t>
  </si>
  <si>
    <t>Balance Sheet Analysis</t>
  </si>
  <si>
    <t>Debt/Capital</t>
  </si>
  <si>
    <t>FCF/Debt</t>
  </si>
  <si>
    <t>FFO/Debt</t>
  </si>
  <si>
    <t xml:space="preserve">  Adjusted Net Debt/EBITDA</t>
  </si>
  <si>
    <t>Adjusted Debt/EBITDA</t>
  </si>
  <si>
    <t xml:space="preserve">  Net debt/EBITDA</t>
  </si>
  <si>
    <t>Debt/EBITDA</t>
  </si>
  <si>
    <t>EBITDA/Interest Expense</t>
  </si>
  <si>
    <t>Financial Ratios</t>
  </si>
  <si>
    <t>Net Working Capital</t>
  </si>
  <si>
    <t>Capital</t>
  </si>
  <si>
    <t>Shareholders' Equity</t>
  </si>
  <si>
    <t>Total Debt</t>
  </si>
  <si>
    <t>Total Assets</t>
  </si>
  <si>
    <t>Cash and eq.</t>
  </si>
  <si>
    <t>Balance Sheet</t>
  </si>
  <si>
    <t>Additions to/(Payments of) Debt</t>
  </si>
  <si>
    <t>Share Repo</t>
  </si>
  <si>
    <t>Common Dividends</t>
  </si>
  <si>
    <t xml:space="preserve">Acquisitions </t>
  </si>
  <si>
    <t>FCF</t>
  </si>
  <si>
    <t xml:space="preserve">  of which Maintenance</t>
  </si>
  <si>
    <t>Capex</t>
  </si>
  <si>
    <t xml:space="preserve">  Change in Working Capital</t>
  </si>
  <si>
    <t>Cash Flow</t>
  </si>
  <si>
    <t>Adjusted EBITDA</t>
  </si>
  <si>
    <t>Gross Profit</t>
  </si>
  <si>
    <t>Income Statement</t>
  </si>
  <si>
    <t>Forecast</t>
  </si>
  <si>
    <t>AR liquidation</t>
  </si>
  <si>
    <t>Other</t>
  </si>
  <si>
    <t>Uses of cash</t>
  </si>
  <si>
    <t>of which Maintenance</t>
  </si>
  <si>
    <t>Growth rate matrix</t>
  </si>
  <si>
    <t>Item</t>
  </si>
  <si>
    <t>Retained cash</t>
  </si>
  <si>
    <t>Dividends</t>
  </si>
  <si>
    <t xml:space="preserve">  Bear</t>
  </si>
  <si>
    <t xml:space="preserve">  Bull</t>
  </si>
  <si>
    <t>Bull case</t>
  </si>
  <si>
    <t>Bear case</t>
  </si>
  <si>
    <t xml:space="preserve">   Bear</t>
  </si>
  <si>
    <t xml:space="preserve">   Bull</t>
  </si>
  <si>
    <t>Last 2 year avg.</t>
  </si>
  <si>
    <t>Last 3 year avg.</t>
  </si>
  <si>
    <t>Base Case Selector</t>
  </si>
  <si>
    <t>N/A</t>
  </si>
  <si>
    <t>Base case</t>
  </si>
  <si>
    <t>Average growth</t>
  </si>
  <si>
    <t>CFO (net of AR liquidation)</t>
  </si>
  <si>
    <t>Currency</t>
  </si>
  <si>
    <t>Equity Issuance</t>
  </si>
  <si>
    <t>Debt Maturity schedule</t>
  </si>
  <si>
    <t>+1yr</t>
  </si>
  <si>
    <t>+2yr</t>
  </si>
  <si>
    <t>+3yr</t>
  </si>
  <si>
    <t>+4yr</t>
  </si>
  <si>
    <t>+5yr</t>
  </si>
  <si>
    <t>Thereafter</t>
  </si>
  <si>
    <t>Next larger maturity</t>
  </si>
  <si>
    <t>Date of next larger maturity</t>
  </si>
  <si>
    <t>Asset Sales</t>
  </si>
  <si>
    <t>Profit Margin</t>
  </si>
  <si>
    <t>Asset Turnover</t>
  </si>
  <si>
    <t>Equity Multiplier</t>
  </si>
  <si>
    <t>Dividends/FCF</t>
  </si>
  <si>
    <t>Retained Earnings</t>
  </si>
  <si>
    <t>Current Assets (for ratios)</t>
  </si>
  <si>
    <t>Current Liabilities (for ratios)</t>
  </si>
  <si>
    <t>EBIT/Revenue</t>
  </si>
  <si>
    <t>Depreciation (for ratios)</t>
  </si>
  <si>
    <t xml:space="preserve">  FCF/Debt (2yr avg)</t>
  </si>
  <si>
    <t xml:space="preserve">  EBIT/Interest Expense (2yr avg)</t>
  </si>
  <si>
    <t xml:space="preserve">  FFO/Debt (2yr avg)</t>
  </si>
  <si>
    <t>Exceptional Income/(Expense)</t>
  </si>
  <si>
    <t>EBITDA/Revenue</t>
  </si>
  <si>
    <t xml:space="preserve">  EBIT/Revenue (2yr avg)</t>
  </si>
  <si>
    <t>Revenue</t>
  </si>
  <si>
    <t>FINAL RATING</t>
  </si>
  <si>
    <t>Sovereign Override</t>
  </si>
  <si>
    <t>Adjusted Rating</t>
  </si>
  <si>
    <t>Enter rationale for any notch adjustment</t>
  </si>
  <si>
    <t>-</t>
  </si>
  <si>
    <t>Notch Adjustment</t>
  </si>
  <si>
    <t>Implied Rating</t>
  </si>
  <si>
    <t>TOTAL</t>
  </si>
  <si>
    <t>Net Income / Tang Assets (2 year avg)</t>
  </si>
  <si>
    <t>Return on Tangible Assets</t>
  </si>
  <si>
    <t>EBIT / Net Revenues (2 year average)</t>
  </si>
  <si>
    <t>EBIT Margin</t>
  </si>
  <si>
    <t>Factor 5:  COST EFFICIENCY &amp; PROFITABILITY (15%)</t>
  </si>
  <si>
    <t>(CFO - WC change) / Total Debt (2 year average)</t>
  </si>
  <si>
    <t>FFO / Debt</t>
  </si>
  <si>
    <t>EBIT / Interest Expense (2 year average)</t>
  </si>
  <si>
    <t>EBIT / Interest</t>
  </si>
  <si>
    <t>(CFO - Capex) / Total Debt (2 year average)</t>
  </si>
  <si>
    <t>FCF / Debt</t>
  </si>
  <si>
    <t>FACTOR 4:  FINANCIAL STRENGTH (25%)</t>
  </si>
  <si>
    <t>(Total Debt - Cash &amp; Eq) / EBITDA (2 year average)</t>
  </si>
  <si>
    <t>Net Debt / EBITDA</t>
  </si>
  <si>
    <t>Total Debt / (Total Debt + Total Equity (2 year average)</t>
  </si>
  <si>
    <t>Debt / Capital</t>
  </si>
  <si>
    <t>FACTOR 3:  FINANCIAL POLICIES (15%)</t>
  </si>
  <si>
    <t>Select</t>
  </si>
  <si>
    <t>Industry Outlook</t>
  </si>
  <si>
    <t>Over the next 12 months</t>
  </si>
  <si>
    <t>Projected Sources / Uses Profile</t>
  </si>
  <si>
    <t>Factor 2:  LIQUIDITY / OUTLOOK (20%)</t>
  </si>
  <si>
    <t>Measure of cash flow volatility, industry sensitivity and overall strategy</t>
  </si>
  <si>
    <t>Operating Risk / Strategy</t>
  </si>
  <si>
    <t>Equity Base</t>
  </si>
  <si>
    <t>Years in Business</t>
  </si>
  <si>
    <t>FACTOR 1:  COMPANY OVERVIEW (25%)</t>
  </si>
  <si>
    <t>Country of Risk</t>
  </si>
  <si>
    <t>SOVEREIGN</t>
  </si>
  <si>
    <t>Score</t>
  </si>
  <si>
    <t>Weight</t>
  </si>
  <si>
    <t>Output</t>
  </si>
  <si>
    <t>Selections</t>
  </si>
  <si>
    <t>Criteria</t>
  </si>
  <si>
    <t xml:space="preserve">  Requires a Selection</t>
  </si>
  <si>
    <t>B+</t>
  </si>
  <si>
    <t>Zambia</t>
  </si>
  <si>
    <t>Vietnam</t>
  </si>
  <si>
    <t>B</t>
  </si>
  <si>
    <t>Venezuela</t>
  </si>
  <si>
    <t>BBB-</t>
  </si>
  <si>
    <t>Uruguay</t>
  </si>
  <si>
    <t>AAA</t>
  </si>
  <si>
    <t>United States</t>
  </si>
  <si>
    <t>United Kingdom</t>
  </si>
  <si>
    <t>AA</t>
  </si>
  <si>
    <t>United Arab Emirates</t>
  </si>
  <si>
    <t>Ukraine</t>
  </si>
  <si>
    <t>Uganda</t>
  </si>
  <si>
    <t>Turkey</t>
  </si>
  <si>
    <t>Tunisia</t>
  </si>
  <si>
    <t>BBB+</t>
  </si>
  <si>
    <t>Thailand</t>
  </si>
  <si>
    <t>A+</t>
  </si>
  <si>
    <t>Taiwan</t>
  </si>
  <si>
    <t>Switzerland</t>
  </si>
  <si>
    <t>Sweden</t>
  </si>
  <si>
    <t>BB-</t>
  </si>
  <si>
    <t>Suriname</t>
  </si>
  <si>
    <t>Sri Lanka</t>
  </si>
  <si>
    <t>BBB</t>
  </si>
  <si>
    <t>Spain</t>
  </si>
  <si>
    <t>AA-</t>
  </si>
  <si>
    <t>South Korea</t>
  </si>
  <si>
    <t>South Africa</t>
  </si>
  <si>
    <t>Slovenia</t>
  </si>
  <si>
    <t>Slovakia</t>
  </si>
  <si>
    <t>Singapore</t>
  </si>
  <si>
    <t>Seychelles</t>
  </si>
  <si>
    <t>Serbia</t>
  </si>
  <si>
    <t>Saudi Arabia</t>
  </si>
  <si>
    <t>San Marino</t>
  </si>
  <si>
    <t>Rwanda</t>
  </si>
  <si>
    <t>Russia</t>
  </si>
  <si>
    <t>Romania</t>
  </si>
  <si>
    <t>BB+</t>
  </si>
  <si>
    <t>Portugal</t>
  </si>
  <si>
    <t>A-</t>
  </si>
  <si>
    <t>Poland</t>
  </si>
  <si>
    <t>Philippines</t>
  </si>
  <si>
    <t>Peru</t>
  </si>
  <si>
    <t>Paraguay</t>
  </si>
  <si>
    <t>Panama</t>
  </si>
  <si>
    <t>Norway</t>
  </si>
  <si>
    <t>Nigeria</t>
  </si>
  <si>
    <t>New Zealand</t>
  </si>
  <si>
    <t>Netherlands</t>
  </si>
  <si>
    <t>Namibia</t>
  </si>
  <si>
    <t>Mozambique</t>
  </si>
  <si>
    <t>Morocco</t>
  </si>
  <si>
    <t>Mongolia</t>
  </si>
  <si>
    <t>Mexico</t>
  </si>
  <si>
    <t>A</t>
  </si>
  <si>
    <t>Malta</t>
  </si>
  <si>
    <t>Malaysia</t>
  </si>
  <si>
    <t>Macedonia</t>
  </si>
  <si>
    <t>Macao</t>
  </si>
  <si>
    <t>Luxembourg</t>
  </si>
  <si>
    <t>Lithuania</t>
  </si>
  <si>
    <t>Lesotho</t>
  </si>
  <si>
    <t>Lebanon</t>
  </si>
  <si>
    <t>Latvia</t>
  </si>
  <si>
    <t>Kuwait</t>
  </si>
  <si>
    <t>BB</t>
  </si>
  <si>
    <t>Kenya</t>
  </si>
  <si>
    <t>Kazakhstan</t>
  </si>
  <si>
    <t>Japan</t>
  </si>
  <si>
    <t>CCC</t>
  </si>
  <si>
    <t>Jamaica</t>
  </si>
  <si>
    <t>Italy</t>
  </si>
  <si>
    <t>Israel</t>
  </si>
  <si>
    <t>Ireland</t>
  </si>
  <si>
    <t>Indonesia</t>
  </si>
  <si>
    <t>India</t>
  </si>
  <si>
    <t>Iceland</t>
  </si>
  <si>
    <t>Hungary</t>
  </si>
  <si>
    <t>AA+</t>
  </si>
  <si>
    <t>Hong Kong</t>
  </si>
  <si>
    <t>Honduras</t>
  </si>
  <si>
    <t>Guatemala</t>
  </si>
  <si>
    <t>B-</t>
  </si>
  <si>
    <t>Greece</t>
  </si>
  <si>
    <t>Ghana</t>
  </si>
  <si>
    <t>Germany</t>
  </si>
  <si>
    <t>Georgia</t>
  </si>
  <si>
    <t>Gabon</t>
  </si>
  <si>
    <t>France</t>
  </si>
  <si>
    <t>Finland</t>
  </si>
  <si>
    <t>Estonia</t>
  </si>
  <si>
    <t>El Salvador</t>
  </si>
  <si>
    <t>Egypt</t>
  </si>
  <si>
    <t>Ecuador</t>
  </si>
  <si>
    <t>Dominican Republic</t>
  </si>
  <si>
    <t>Column</t>
  </si>
  <si>
    <t>Denmark</t>
  </si>
  <si>
    <t>+2</t>
  </si>
  <si>
    <t>Czech Republic</t>
  </si>
  <si>
    <t>+1</t>
  </si>
  <si>
    <t>Aggressive</t>
  </si>
  <si>
    <t>Cyprus</t>
  </si>
  <si>
    <t>Moderately Aggressive</t>
  </si>
  <si>
    <t>Croatia</t>
  </si>
  <si>
    <t>-1</t>
  </si>
  <si>
    <t>Moderate</t>
  </si>
  <si>
    <t>Costa Rica</t>
  </si>
  <si>
    <t>-2</t>
  </si>
  <si>
    <t>Good</t>
  </si>
  <si>
    <t>Congo-Brazzaville</t>
  </si>
  <si>
    <t>Notches</t>
  </si>
  <si>
    <t>Notch Column</t>
  </si>
  <si>
    <t>Exceptional</t>
  </si>
  <si>
    <t>Colombia</t>
  </si>
  <si>
    <t>China</t>
  </si>
  <si>
    <t>CCC+</t>
  </si>
  <si>
    <t>CC</t>
  </si>
  <si>
    <t>Chile</t>
  </si>
  <si>
    <t>Cape Verde</t>
  </si>
  <si>
    <t>&lt; $25 Million</t>
  </si>
  <si>
    <t>Canada</t>
  </si>
  <si>
    <t>$25 - $100 Million</t>
  </si>
  <si>
    <t>Cameroon</t>
  </si>
  <si>
    <t>$100 - $500 Million</t>
  </si>
  <si>
    <t>Bulgaria</t>
  </si>
  <si>
    <t>Challenging</t>
  </si>
  <si>
    <t>$500 Million - $1 Billion</t>
  </si>
  <si>
    <t>Brazil</t>
  </si>
  <si>
    <t>Moderately Challenged</t>
  </si>
  <si>
    <t>$1 - $10 Billion</t>
  </si>
  <si>
    <t>Bolivia</t>
  </si>
  <si>
    <t>$10 - $50 Billion</t>
  </si>
  <si>
    <t>Bermuda</t>
  </si>
  <si>
    <t>Strong</t>
  </si>
  <si>
    <t>&gt; $50 Billion</t>
  </si>
  <si>
    <t>Belgium</t>
  </si>
  <si>
    <t>Bahrain</t>
  </si>
  <si>
    <t>Azerbaijan</t>
  </si>
  <si>
    <t>Return on Average Tan Assets</t>
  </si>
  <si>
    <t>Austria</t>
  </si>
  <si>
    <t>&gt; 20 years</t>
  </si>
  <si>
    <t>Australia</t>
  </si>
  <si>
    <t>Constrained</t>
  </si>
  <si>
    <t>10 - 20 years</t>
  </si>
  <si>
    <t>Aruba</t>
  </si>
  <si>
    <t>Moderately Constrained</t>
  </si>
  <si>
    <t>6 - 10 years</t>
  </si>
  <si>
    <t>Armenia</t>
  </si>
  <si>
    <t>3 - 5 years</t>
  </si>
  <si>
    <t>Argentina</t>
  </si>
  <si>
    <t>1 - 2 years</t>
  </si>
  <si>
    <t>Angola</t>
  </si>
  <si>
    <t>Rating # Equiv</t>
  </si>
  <si>
    <t>&lt; 1 year</t>
  </si>
  <si>
    <t>Sovereign # Equiv</t>
  </si>
  <si>
    <t>LT Rating</t>
  </si>
  <si>
    <t>Country</t>
  </si>
  <si>
    <t>Override</t>
  </si>
  <si>
    <t>Factor</t>
  </si>
  <si>
    <t>Rating</t>
  </si>
  <si>
    <t>Debt / Capitalization</t>
  </si>
  <si>
    <t>Liquidity/Outlook</t>
  </si>
  <si>
    <t>Year in Business</t>
  </si>
  <si>
    <t>Country Ratings</t>
  </si>
  <si>
    <t>SOVEREIGN OVERRIDE</t>
  </si>
  <si>
    <t>NOTCH ADJUSTMENT</t>
  </si>
  <si>
    <t>IMPLIED RATING</t>
  </si>
  <si>
    <t>FACTOR 5:  COST EFFICIENCY &amp; PROFITABILITY</t>
  </si>
  <si>
    <t>FACTOR 4:  FINANCIAL STRENGTH</t>
  </si>
  <si>
    <t xml:space="preserve">FACTOR 3:  FINANCIAL POLICIES </t>
  </si>
  <si>
    <t>FACTOR 2:  LIQUIDITY / OUTLOOK</t>
  </si>
  <si>
    <t>FACTOR 1:  COMPANY OVERVIEW</t>
  </si>
  <si>
    <t>Goodwill (for ratios)</t>
  </si>
  <si>
    <t>Other Intangible Assets (for ratios)</t>
  </si>
  <si>
    <t>ROTA</t>
  </si>
  <si>
    <t>FACTOR 2:  REFINERY PROFITABILITY (15%)</t>
  </si>
  <si>
    <t>FACTOR 1:  SIZE AND SCALE (35%)</t>
  </si>
  <si>
    <t>FACTOR 3:  FINANCIAL FLEXIBILITY (35%)</t>
  </si>
  <si>
    <t>FACTOR 4:  INSTITUTIONAL FRAMEWORK/ OPERATING ENVIRONMENT (15%)</t>
  </si>
  <si>
    <t>Crude distillation capacity (mbbls/day)</t>
  </si>
  <si>
    <t>Complexity bbls (mbbls)</t>
  </si>
  <si>
    <t>Number of large-scale refineries</t>
  </si>
  <si>
    <t>EBIT/Interest Expense</t>
  </si>
  <si>
    <t>RCF/Debt</t>
  </si>
  <si>
    <t>Retained Cash Flow</t>
  </si>
  <si>
    <t>INSTITUTIONAL FRAMEWORK/ OPERATING ENVIRONMENT</t>
  </si>
  <si>
    <t>No environmental regulations/burdens; no competitive pressures/extremely high barriers to entry</t>
  </si>
  <si>
    <t>Few " ; few " ; significant "</t>
  </si>
  <si>
    <t>Minor " ; few " ; significant "</t>
  </si>
  <si>
    <t>Modest " ; mondest " ; moderate "</t>
  </si>
  <si>
    <t>Material " ; material " ; minor</t>
  </si>
  <si>
    <t>Material " ; some " ; minor</t>
  </si>
  <si>
    <t>Heavy " ; heavy " ; significant</t>
  </si>
  <si>
    <t>Quarters, halfs</t>
  </si>
  <si>
    <t>Fiscal Year End</t>
  </si>
  <si>
    <t>Refinery statistics</t>
  </si>
  <si>
    <t>No. of large-scale refineries</t>
  </si>
  <si>
    <t>Nelson complexity barrels</t>
  </si>
  <si>
    <t>Total distillation capacity * Weighted avg. Nelson Complexity Factor</t>
  </si>
  <si>
    <t>Refinery name</t>
  </si>
  <si>
    <t>Capacity</t>
  </si>
  <si>
    <t>NCI</t>
  </si>
  <si>
    <t>TOTAL/AVERAGE</t>
  </si>
  <si>
    <t>WEIGHTED AVG. NELSON COMPLEXITY FACTOR</t>
  </si>
  <si>
    <t>%</t>
  </si>
  <si>
    <t>NELSON COMPLEXITY BARRELS</t>
  </si>
  <si>
    <t>All refineries combined, daily</t>
  </si>
  <si>
    <t>Total crude distillation capacity (mbbls)</t>
  </si>
  <si>
    <t>Defined as capacity &gt;100mbbls/day</t>
  </si>
  <si>
    <t>Total Fixed Assets</t>
  </si>
  <si>
    <t xml:space="preserve">  Adjusted Total Debt *</t>
  </si>
  <si>
    <t xml:space="preserve">  Long-Term Debt</t>
  </si>
  <si>
    <t xml:space="preserve">  Short-Term Debt</t>
  </si>
  <si>
    <t>Audited?</t>
  </si>
  <si>
    <t>Auditor</t>
  </si>
  <si>
    <t>Opinion</t>
  </si>
  <si>
    <t>Audited? (Y/N)</t>
  </si>
  <si>
    <t>Accounts receivable (for ratios)</t>
  </si>
  <si>
    <t>Inventory (for ratios)</t>
  </si>
  <si>
    <r>
      <t xml:space="preserve">  Working Capital/Short-Term Debt </t>
    </r>
    <r>
      <rPr>
        <sz val="9"/>
        <color theme="1"/>
        <rFont val="Calibri"/>
        <family val="2"/>
      </rPr>
      <t>⁺</t>
    </r>
  </si>
  <si>
    <t xml:space="preserve">  Working Capital/Long-Term Debt ⁺</t>
  </si>
  <si>
    <t xml:space="preserve">  Working Capital (25% haircut)/Short-Term Debt ⁺</t>
  </si>
  <si>
    <t xml:space="preserve">  Working Capital (25% haircut)/Long-Term Debt ⁺</t>
  </si>
  <si>
    <t>⁺ WC defined as Cash + Inv. + AR. Haircut represents liquidation value estimate</t>
  </si>
  <si>
    <t>* Include: asset retirement obligations, pension provisions and operating leases at 3x</t>
  </si>
  <si>
    <t>Currency USD MM</t>
  </si>
  <si>
    <t xml:space="preserve">  Variance</t>
  </si>
  <si>
    <t>Net Interest Income/(Expense)</t>
  </si>
  <si>
    <t>2yr avg. EBIT/Current interest expense</t>
  </si>
  <si>
    <t>No averages.</t>
  </si>
  <si>
    <t>2yr avg. retained cash flow (CFO - Changes in WC - Dividends)/Current debt</t>
  </si>
  <si>
    <t xml:space="preserve">EBIT/Total Throughput Barrels </t>
  </si>
  <si>
    <t>Debt/Complexity Barrels</t>
  </si>
  <si>
    <t>2yr avg. EBIT/Current Throughput Barrels</t>
  </si>
  <si>
    <t>FACTOR 4:  FINANCIAL POLICIES (20%)</t>
  </si>
  <si>
    <t>FACTOR 1:  MARKET POSITION (25%)</t>
  </si>
  <si>
    <t>FACTOR 3:  LEVERAGE (20%)</t>
  </si>
  <si>
    <t>Reliance on Merchandising</t>
  </si>
  <si>
    <t>Reliance on Largest Region</t>
  </si>
  <si>
    <t>Primary Market Position</t>
  </si>
  <si>
    <t>Global Market Position</t>
  </si>
  <si>
    <t>Revenues</t>
  </si>
  <si>
    <t>Fixed Assets</t>
  </si>
  <si>
    <t>Net Debt/EBITDA</t>
  </si>
  <si>
    <t>FFO/Net Debt</t>
  </si>
  <si>
    <t>RCF/Net Debt</t>
  </si>
  <si>
    <t>Current Net Debt/2yr avg. EBITDA</t>
  </si>
  <si>
    <t>2 yr avg. FFO/Current Net Debt</t>
  </si>
  <si>
    <t>2 yr avg. RCF/Net Debt</t>
  </si>
  <si>
    <t>Financial Policies</t>
  </si>
  <si>
    <t>Business Risk Profile</t>
  </si>
  <si>
    <t>2 yr avg. Revenues</t>
  </si>
  <si>
    <t>FACTOR 2:  SCALE (15%)</t>
  </si>
  <si>
    <t>FACTOR 5:  BUSINESS RISK PROFILE (20%)</t>
  </si>
  <si>
    <t>Small</t>
  </si>
  <si>
    <t>Limited</t>
  </si>
  <si>
    <t>Significant</t>
  </si>
  <si>
    <t>Majority with significant assets</t>
  </si>
  <si>
    <t>Majority with limited assets</t>
  </si>
  <si>
    <t>High with significant assets</t>
  </si>
  <si>
    <t>High with limited assets</t>
  </si>
  <si>
    <t>High with minimal assets</t>
  </si>
  <si>
    <t>&lt;15%</t>
  </si>
  <si>
    <t>15% - 25%</t>
  </si>
  <si>
    <t>25% - 40%</t>
  </si>
  <si>
    <t>40% - 50%</t>
  </si>
  <si>
    <t>50% - 65%</t>
  </si>
  <si>
    <t>65% - 90%</t>
  </si>
  <si>
    <t>90% - 95%</t>
  </si>
  <si>
    <t>&gt;95%</t>
  </si>
  <si>
    <t>Dominant with a few competitors</t>
  </si>
  <si>
    <t>Dominant with many competitors</t>
  </si>
  <si>
    <t>Leading with few competitors</t>
  </si>
  <si>
    <t>Leading with many competitors</t>
  </si>
  <si>
    <t>Mid-sized with many similar competitors</t>
  </si>
  <si>
    <t>Mid-sized with several larger competitors</t>
  </si>
  <si>
    <t xml:space="preserve">Small with many small competitors </t>
  </si>
  <si>
    <t>Small with many larger competitors</t>
  </si>
  <si>
    <t>Dominant</t>
  </si>
  <si>
    <t>Mid-sized with may similar or smaller competitors</t>
  </si>
  <si>
    <t>Small with many small competitors</t>
  </si>
  <si>
    <t>Small with several larger competitors</t>
  </si>
  <si>
    <t>Expected to have a very conservative financial policy with an ability and willingness to fund all requirements from internal sources and remains FCF positive after share repurchases. Minimal event or liquidity risk. Commitment to very high credit quality.</t>
  </si>
  <si>
    <t>Expected to have a financial policy that is balanced between shareholders and creditors but there is a potential for rating migration following acquisitions. An ability to fund all capital requirements (except working capital during periods of rapidly rising commodity prices) from internal sources and consistently FCF positive and low event risk. Substantial excess liquidity under committed facilities and access to alternative funding sources during periods of rapidly rising prices. Proactively manages liquidity to ensure substantial access to external funding. Commitment to high credit quality.</t>
  </si>
  <si>
    <t>Expected to have a financial policy that is balanced between stockholders and creditors but there is a potential for rating migration following acquisitions. An ability to fund all capital requirements *except working capital during periods of rapidly rising commodity prices) from internal sources; multiple levers to address unforeseen events include reliable access to external funding under committed unsecured bank facilities. Moderate event risk. A solid commitment to metrics that are consistent with investment grade.</t>
  </si>
  <si>
    <t>Expected to have a financial policy that facors shareholder returns; elevated event risk related to acqusitions or capital structure change. Likely ability to fund all requirements, including some portion of growth captex from internal sources. Bank credit facility is secured; substantial convenant room.</t>
  </si>
  <si>
    <t>Expected to have a financial policy that is very focused on shareholder returns with only a modest financial cushion for debt holders. Alternate sources of liquidity are limited; bank credit facility is fully secured with modest covenant cushion.</t>
  </si>
  <si>
    <t>Expected to have a financial policy that is unfavorable to creditors; ability to internally fund wokring capital and maintenance capex is highly uncertain, alternate sources of liquidity are not available; debt restructuring likely.</t>
  </si>
  <si>
    <t>Expected to have financial policies that contribute to persistent cash outflows, lack of external funding and create a high likelihood of default.</t>
  </si>
  <si>
    <t>Viewed as having low risk relative to the sector. Minimal use of proprietary trading due to comprehensive management policies and limits set by the Board. Use of derivatives is to support merchandising directly tied to logistics assets or to reduce margin volatility in its vertically integrated businesses.</t>
  </si>
  <si>
    <t>Viewed as having low risk relative to the sector. Proprietary trading is tightly controlled and limited by management policies. Compensation policies discourage proprietary trading. Use of derivatives primarily supports merchandising directly tied to logistics assets or to reduce margin volatility in its vertically integrated businesses.</t>
  </si>
  <si>
    <t>Viewed as having average risk relative to the sector. Proprietary trading is controlled by established risk management policies and strict limits. Management has limited ability to expend risk without Board approval. Compensation policies do not provide meaningful incentives for traders to incur proprietary trading risk. Limited use of derivatives supports merchandising that is not tied to the company's logistics assets.</t>
  </si>
  <si>
    <t>Viewed as having elevated risk relative to the sector. Proprietary trading is controlled by established risk management policies and limits. Management has some discretion over risk limits (or risk limits are set at elevated levels). Compensation policies provide incentives for traders to rake risk but discourage traders from taking excessive risks (i.e., delayed bonus payout, clawbacks, etc.). Substantial use of derivatives to support merchandising/trading that is not tied to the company's logistics assets.</t>
  </si>
  <si>
    <t>Viewed as having high risk relative to the sector. Financil policies provide management with substantial discretion over risk limitsand allow a high level of proprietary trading. The majority of derivatives utilized are not related to merchandising/trading activies tied to the company's logistical assets.</t>
  </si>
  <si>
    <t>Viewed as high relative to the sector. Financial policies provide management with substantial discretion over risk limits and allow a high level of proprietary trading. Compensation policies do not discourage traders from taking excessive risk.</t>
  </si>
  <si>
    <t>Expected to have a highly conservative financial policy with the ability and willingness to fund all requirements from internal sources and always remains FCF positive even after share repos. No preceptible event of liquidity risk. Commitment to highest credit quality.</t>
  </si>
  <si>
    <t>Industry Risk not compatible with AAA rating.</t>
  </si>
  <si>
    <t>EBITDA cleaner (Foreign)</t>
  </si>
  <si>
    <t>EBITDA cleaner (USD)</t>
  </si>
  <si>
    <t>Gross Margin</t>
  </si>
  <si>
    <t>Accounts payable (for ratios)</t>
  </si>
  <si>
    <t xml:space="preserve">  Working Capital/Total Debt ⁺</t>
  </si>
  <si>
    <t xml:space="preserve">  Working Capital (25% haircut)/Total Debt ⁺</t>
  </si>
  <si>
    <t>Daniel Dunai</t>
  </si>
  <si>
    <t>Saras Group</t>
  </si>
  <si>
    <t>12/31/2012</t>
  </si>
  <si>
    <t>12/31/2013</t>
  </si>
  <si>
    <t>H1 2014</t>
  </si>
  <si>
    <t>H1 2013</t>
  </si>
  <si>
    <t>Y</t>
  </si>
  <si>
    <t>PwC</t>
  </si>
  <si>
    <t>Unqualified</t>
  </si>
  <si>
    <t>EUR</t>
  </si>
  <si>
    <t>Unrealized exchange losses/(gains) on bank accounts</t>
  </si>
  <si>
    <t>&gt;100%</t>
  </si>
  <si>
    <t>Recovery for claims and damages</t>
  </si>
  <si>
    <t>&lt;-100%</t>
  </si>
  <si>
    <t>Change in fair value of derivatives, green certificates</t>
  </si>
  <si>
    <t>EBITDA addback due to scheduled refinery maintenance</t>
  </si>
  <si>
    <t>H1 2012</t>
  </si>
  <si>
    <t>FYE 2012</t>
  </si>
  <si>
    <t>LTM H1 2013</t>
  </si>
  <si>
    <t>We recommend a 2-notch downgrade from the template-assigned rating, due to 1) substantial cash position that pushes net debt/EBITDA down. This cash  amount is necessary to comply with debt covenants and can therefore be limitedly used freely. 2) Free cash flow hiked in in FYE2013 and 2012 due to substantial inventory liquidation, in excess of $400mm. This gives FCF/Debt an unjustifiably high rating.</t>
  </si>
  <si>
    <t>12/31/2016 E</t>
  </si>
  <si>
    <t>12/31/2015 E</t>
  </si>
  <si>
    <t>12/31/2014 E</t>
  </si>
  <si>
    <t>Numbers  by AlphaValue equity research - 2/9/2014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</si>
</sst>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43" formatCode="_-* #,##0.00_-;\-* #,##0.00_-;_-* &quot;-&quot;??_-;_-@_-"/>
    <numFmt numFmtId="164" formatCode="_-* #,##0.0_-;\-* #,##0.0_-;_-* &quot;-&quot;?_-;_-@_-"/>
    <numFmt numFmtId="165" formatCode="##,##0.0_-;\(##,##0.0\);\-_;"/>
    <numFmt numFmtId="166" formatCode="0.0%"/>
    <numFmt numFmtId="167" formatCode="#,##0.0"/>
    <numFmt numFmtId="168" formatCode="#,##0.0_);\(#,##0.0\)"/>
    <numFmt numFmtId="169" formatCode="0.0"/>
    <numFmt numFmtId="170" formatCode="_(* #,##0.00_);_(* \(#,##0.00\);_(* &quot;-&quot;??_);_(@_)"/>
    <numFmt numFmtId="171" formatCode="_(* #,##0.0_);_(* \(#,##0.0\);_(* &quot;-&quot;??_);_(@_)"/>
    <numFmt numFmtId="172" formatCode="_-* #,##0.0_-;\-* #,##0.0_-;_-* &quot;-&quot;??_-;_-@_-"/>
    <numFmt numFmtId="173" formatCode="_-* #,##0_-;\-* #,##0_-;_-* &quot;-&quot;??_-;_-@_-"/>
    <numFmt numFmtId="174" formatCode="0.000"/>
    <numFmt numFmtId="175" formatCode="0.00000%"/>
    <numFmt numFmtId="178" formatCode="0.000000"/>
  </numFmts>
  <fonts count="28" x14ac:knownFonts="1">
    <font>
      <sz val="11"/>
      <color theme="1"/>
      <name val="Calibri"/>
      <family val="2"/>
      <scheme val="minor"/>
    </font>
    <font>
      <sz val="11"/>
      <color theme="1"/>
      <name val="Arial"/>
      <family val="2"/>
    </font>
    <font>
      <b/>
      <sz val="11"/>
      <color theme="1"/>
      <name val="Arial"/>
      <family val="2"/>
    </font>
    <font>
      <b/>
      <sz val="14"/>
      <color theme="1"/>
      <name val="Arial"/>
      <family val="2"/>
    </font>
    <font>
      <sz val="8"/>
      <color theme="1"/>
      <name val="Arial"/>
      <family val="2"/>
    </font>
    <font>
      <i/>
      <sz val="11"/>
      <color theme="1"/>
      <name val="Arial"/>
      <family val="2"/>
    </font>
    <font>
      <sz val="11"/>
      <color theme="1"/>
      <name val="Calibri"/>
      <family val="2"/>
      <scheme val="minor"/>
    </font>
    <font>
      <i/>
      <sz val="8"/>
      <color theme="1"/>
      <name val="Arial"/>
      <family val="2"/>
    </font>
    <font>
      <i/>
      <sz val="11"/>
      <color theme="1"/>
      <name val="Calibri"/>
      <family val="2"/>
    </font>
    <font>
      <i/>
      <sz val="10"/>
      <color theme="1"/>
      <name val="Arial"/>
      <family val="2"/>
    </font>
    <font>
      <sz val="9"/>
      <color theme="1"/>
      <name val="Arial"/>
      <family val="2"/>
    </font>
    <font>
      <b/>
      <sz val="11"/>
      <color theme="0"/>
      <name val="Arial"/>
      <family val="2"/>
    </font>
    <font>
      <i/>
      <sz val="9"/>
      <color theme="1"/>
      <name val="Arial"/>
      <family val="2"/>
    </font>
    <font>
      <b/>
      <sz val="12"/>
      <color theme="1"/>
      <name val="Arial"/>
      <family val="2"/>
    </font>
    <font>
      <sz val="14"/>
      <color theme="1"/>
      <name val="Arial"/>
      <family val="2"/>
    </font>
    <font>
      <b/>
      <sz val="8"/>
      <color theme="1"/>
      <name val="Arial"/>
      <family val="2"/>
    </font>
    <font>
      <b/>
      <sz val="11"/>
      <color theme="0"/>
      <name val="Calibri"/>
      <family val="2"/>
      <scheme val="minor"/>
    </font>
    <font>
      <b/>
      <sz val="11"/>
      <color theme="1"/>
      <name val="Calibri"/>
      <family val="2"/>
      <scheme val="minor"/>
    </font>
    <font>
      <sz val="11"/>
      <color theme="0"/>
      <name val="Calibri"/>
      <family val="2"/>
      <scheme val="minor"/>
    </font>
    <font>
      <sz val="8"/>
      <color theme="1"/>
      <name val="Calibri"/>
      <family val="2"/>
      <scheme val="minor"/>
    </font>
    <font>
      <b/>
      <sz val="11"/>
      <name val="Calibri"/>
      <family val="2"/>
      <scheme val="minor"/>
    </font>
    <font>
      <sz val="9"/>
      <color indexed="81"/>
      <name val="Tahoma"/>
      <family val="2"/>
    </font>
    <font>
      <b/>
      <sz val="9"/>
      <color indexed="81"/>
      <name val="Tahoma"/>
      <family val="2"/>
    </font>
    <font>
      <sz val="12"/>
      <color theme="1"/>
      <name val="Arial"/>
      <family val="2"/>
    </font>
    <font>
      <sz val="9"/>
      <color theme="1"/>
      <name val="Calibri"/>
      <family val="2"/>
    </font>
    <font>
      <b/>
      <i/>
      <sz val="11"/>
      <color theme="0"/>
      <name val="Arial"/>
      <family val="2"/>
    </font>
    <font>
      <sz val="7"/>
      <color theme="1"/>
      <name val="Arial"/>
      <family val="2"/>
    </font>
    <font>
      <b/>
      <sz val="7"/>
      <color theme="0"/>
      <name val="Arial"/>
      <family val="2"/>
    </font>
  </fonts>
  <fills count="8">
    <fill>
      <patternFill patternType="none"/>
    </fill>
    <fill>
      <patternFill patternType="gray125"/>
    </fill>
    <fill>
      <patternFill patternType="solid">
        <fgColor theme="0" tint="-4.9989318521683403E-2"/>
        <bgColor indexed="64"/>
      </patternFill>
    </fill>
    <fill>
      <patternFill patternType="solid">
        <fgColor theme="3" tint="0.79998168889431442"/>
        <bgColor indexed="64"/>
      </patternFill>
    </fill>
    <fill>
      <patternFill patternType="solid">
        <fgColor theme="4"/>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rgb="FF002060"/>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dotted">
        <color indexed="64"/>
      </left>
      <right/>
      <top/>
      <bottom/>
      <diagonal/>
    </border>
    <border>
      <left style="dotted">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tted">
        <color indexed="64"/>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dotted">
        <color indexed="64"/>
      </left>
      <right/>
      <top style="thin">
        <color indexed="64"/>
      </top>
      <bottom/>
      <diagonal/>
    </border>
    <border>
      <left style="hair">
        <color indexed="64"/>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hair">
        <color indexed="64"/>
      </right>
      <top/>
      <bottom style="hair">
        <color indexed="64"/>
      </bottom>
      <diagonal/>
    </border>
    <border>
      <left/>
      <right/>
      <top/>
      <bottom style="hair">
        <color indexed="64"/>
      </bottom>
      <diagonal/>
    </border>
    <border>
      <left style="hair">
        <color indexed="64"/>
      </left>
      <right/>
      <top/>
      <bottom style="hair">
        <color indexed="64"/>
      </bottom>
      <diagonal/>
    </border>
    <border>
      <left/>
      <right style="hair">
        <color indexed="64"/>
      </right>
      <top style="hair">
        <color indexed="64"/>
      </top>
      <bottom/>
      <diagonal/>
    </border>
    <border>
      <left/>
      <right/>
      <top style="hair">
        <color indexed="64"/>
      </top>
      <bottom/>
      <diagonal/>
    </border>
    <border>
      <left style="hair">
        <color indexed="64"/>
      </left>
      <right/>
      <top style="hair">
        <color indexed="64"/>
      </top>
      <bottom/>
      <diagonal/>
    </border>
    <border>
      <left style="hair">
        <color indexed="64"/>
      </left>
      <right style="hair">
        <color indexed="64"/>
      </right>
      <top style="hair">
        <color indexed="64"/>
      </top>
      <bottom style="hair">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style="medium">
        <color indexed="64"/>
      </bottom>
      <diagonal/>
    </border>
    <border>
      <left style="dotted">
        <color indexed="64"/>
      </left>
      <right style="dotted">
        <color indexed="64"/>
      </right>
      <top style="dotted">
        <color indexed="64"/>
      </top>
      <bottom style="dotted">
        <color indexed="64"/>
      </bottom>
      <diagonal/>
    </border>
    <border>
      <left/>
      <right style="hair">
        <color indexed="64"/>
      </right>
      <top/>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top style="thin">
        <color indexed="64"/>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s>
  <cellStyleXfs count="4">
    <xf numFmtId="0" fontId="0" fillId="0" borderId="0"/>
    <xf numFmtId="9" fontId="6" fillId="0" borderId="0" applyFont="0" applyFill="0" applyBorder="0" applyAlignment="0" applyProtection="0"/>
    <xf numFmtId="43" fontId="6" fillId="0" borderId="0" applyFont="0" applyFill="0" applyBorder="0" applyAlignment="0" applyProtection="0"/>
    <xf numFmtId="170" fontId="6" fillId="0" borderId="0" applyFont="0" applyFill="0" applyBorder="0" applyAlignment="0" applyProtection="0"/>
  </cellStyleXfs>
  <cellXfs count="399">
    <xf numFmtId="0" fontId="0" fillId="0" borderId="0" xfId="0"/>
    <xf numFmtId="0" fontId="1" fillId="0" borderId="0" xfId="0" applyFont="1"/>
    <xf numFmtId="0" fontId="2" fillId="0" borderId="0" xfId="0" applyFont="1"/>
    <xf numFmtId="0" fontId="3" fillId="0" borderId="0" xfId="0" applyFont="1"/>
    <xf numFmtId="0" fontId="4" fillId="0" borderId="0" xfId="0" applyFont="1" applyAlignment="1">
      <alignment horizontal="right" vertical="center"/>
    </xf>
    <xf numFmtId="0" fontId="5" fillId="0" borderId="0" xfId="0" applyFont="1"/>
    <xf numFmtId="164" fontId="1" fillId="0" borderId="0" xfId="0" applyNumberFormat="1" applyFont="1"/>
    <xf numFmtId="0" fontId="1" fillId="2" borderId="1" xfId="0" applyNumberFormat="1" applyFont="1" applyFill="1" applyBorder="1"/>
    <xf numFmtId="165" fontId="1" fillId="2" borderId="1" xfId="0" applyNumberFormat="1" applyFont="1" applyFill="1" applyBorder="1"/>
    <xf numFmtId="0" fontId="2" fillId="0" borderId="0" xfId="0" applyFont="1" applyAlignment="1">
      <alignment horizontal="center" vertical="center"/>
    </xf>
    <xf numFmtId="165" fontId="4" fillId="0" borderId="0" xfId="0" applyNumberFormat="1" applyFont="1" applyAlignment="1">
      <alignment horizontal="center" vertical="center"/>
    </xf>
    <xf numFmtId="0" fontId="7" fillId="0" borderId="0" xfId="0" applyFont="1"/>
    <xf numFmtId="0" fontId="1" fillId="2" borderId="0" xfId="0" applyFont="1" applyFill="1"/>
    <xf numFmtId="0" fontId="1" fillId="2" borderId="0" xfId="0" applyFont="1" applyFill="1" applyAlignment="1">
      <alignment horizontal="left"/>
    </xf>
    <xf numFmtId="0" fontId="9" fillId="0" borderId="0" xfId="0" applyFont="1"/>
    <xf numFmtId="0" fontId="11" fillId="4" borderId="0" xfId="0" applyFont="1" applyFill="1"/>
    <xf numFmtId="0" fontId="1" fillId="4" borderId="0" xfId="0" applyFont="1" applyFill="1"/>
    <xf numFmtId="0" fontId="12" fillId="0" borderId="0" xfId="0" applyFont="1"/>
    <xf numFmtId="0" fontId="5" fillId="2" borderId="1" xfId="0" applyNumberFormat="1" applyFont="1" applyFill="1" applyBorder="1"/>
    <xf numFmtId="0" fontId="5" fillId="2" borderId="3" xfId="0" applyNumberFormat="1" applyFont="1" applyFill="1" applyBorder="1"/>
    <xf numFmtId="0" fontId="1" fillId="0" borderId="0" xfId="0" applyFont="1"/>
    <xf numFmtId="0" fontId="5" fillId="0" borderId="0" xfId="0" applyFont="1"/>
    <xf numFmtId="0" fontId="1" fillId="2" borderId="1" xfId="0" applyNumberFormat="1" applyFont="1" applyFill="1" applyBorder="1"/>
    <xf numFmtId="165" fontId="1" fillId="2" borderId="1" xfId="0" applyNumberFormat="1" applyFont="1" applyFill="1" applyBorder="1"/>
    <xf numFmtId="165" fontId="1" fillId="0" borderId="0" xfId="0" applyNumberFormat="1" applyFont="1" applyFill="1" applyBorder="1"/>
    <xf numFmtId="0" fontId="7" fillId="0" borderId="0" xfId="0" applyFont="1"/>
    <xf numFmtId="0" fontId="5" fillId="0" borderId="0" xfId="0" applyFont="1" applyAlignment="1">
      <alignment horizontal="left"/>
    </xf>
    <xf numFmtId="0" fontId="1" fillId="0" borderId="2" xfId="0" applyFont="1" applyBorder="1"/>
    <xf numFmtId="0" fontId="1" fillId="2" borderId="3" xfId="0" applyNumberFormat="1" applyFont="1" applyFill="1" applyBorder="1"/>
    <xf numFmtId="165" fontId="1" fillId="0" borderId="2" xfId="0" applyNumberFormat="1" applyFont="1" applyFill="1" applyBorder="1"/>
    <xf numFmtId="0" fontId="1" fillId="0" borderId="0" xfId="0" applyFont="1" applyAlignment="1">
      <alignment horizontal="center"/>
    </xf>
    <xf numFmtId="0" fontId="1" fillId="0" borderId="0" xfId="0" applyNumberFormat="1" applyFont="1" applyFill="1" applyBorder="1"/>
    <xf numFmtId="9" fontId="7" fillId="0" borderId="0" xfId="1" applyFont="1" applyFill="1" applyBorder="1"/>
    <xf numFmtId="9" fontId="7" fillId="0" borderId="4" xfId="1" applyFont="1" applyFill="1" applyBorder="1"/>
    <xf numFmtId="9" fontId="7" fillId="0" borderId="5" xfId="1" applyFont="1" applyFill="1" applyBorder="1"/>
    <xf numFmtId="9" fontId="7" fillId="0" borderId="7" xfId="1" applyFont="1" applyFill="1" applyBorder="1"/>
    <xf numFmtId="9" fontId="7" fillId="0" borderId="9" xfId="1" applyFont="1" applyFill="1" applyBorder="1"/>
    <xf numFmtId="9" fontId="7" fillId="0" borderId="10" xfId="1" applyFont="1" applyFill="1" applyBorder="1"/>
    <xf numFmtId="0" fontId="5" fillId="0" borderId="6" xfId="0" applyFont="1" applyBorder="1"/>
    <xf numFmtId="0" fontId="5" fillId="0" borderId="8" xfId="0" applyFont="1" applyBorder="1"/>
    <xf numFmtId="0" fontId="1" fillId="0" borderId="0" xfId="0" applyFont="1" applyBorder="1"/>
    <xf numFmtId="9" fontId="7" fillId="0" borderId="12" xfId="1" applyFont="1" applyFill="1" applyBorder="1"/>
    <xf numFmtId="0" fontId="5" fillId="0" borderId="12" xfId="0" applyFont="1" applyBorder="1"/>
    <xf numFmtId="165" fontId="1" fillId="2" borderId="3" xfId="0" applyNumberFormat="1" applyFont="1" applyFill="1" applyBorder="1"/>
    <xf numFmtId="9" fontId="1" fillId="0" borderId="0" xfId="0" applyNumberFormat="1" applyFont="1"/>
    <xf numFmtId="0" fontId="7" fillId="0" borderId="7" xfId="0" applyFont="1" applyBorder="1"/>
    <xf numFmtId="165" fontId="1" fillId="0" borderId="7" xfId="0" applyNumberFormat="1" applyFont="1" applyFill="1" applyBorder="1"/>
    <xf numFmtId="0" fontId="5" fillId="2" borderId="14" xfId="0" applyNumberFormat="1" applyFont="1" applyFill="1" applyBorder="1"/>
    <xf numFmtId="165" fontId="1" fillId="0" borderId="15" xfId="0" applyNumberFormat="1" applyFont="1" applyFill="1" applyBorder="1"/>
    <xf numFmtId="0" fontId="2" fillId="0" borderId="0" xfId="0" applyFont="1" applyAlignment="1">
      <alignment horizontal="center"/>
    </xf>
    <xf numFmtId="165" fontId="4" fillId="0" borderId="15" xfId="0" applyNumberFormat="1" applyFont="1" applyFill="1" applyBorder="1"/>
    <xf numFmtId="165" fontId="4" fillId="0" borderId="2" xfId="0" applyNumberFormat="1" applyFont="1" applyFill="1" applyBorder="1"/>
    <xf numFmtId="165" fontId="4" fillId="0" borderId="0" xfId="0" applyNumberFormat="1" applyFont="1" applyFill="1" applyBorder="1"/>
    <xf numFmtId="9" fontId="1" fillId="2" borderId="1" xfId="1" applyFont="1" applyFill="1" applyBorder="1" applyAlignment="1">
      <alignment horizontal="center"/>
    </xf>
    <xf numFmtId="0" fontId="14" fillId="0" borderId="0" xfId="0" applyFont="1"/>
    <xf numFmtId="0" fontId="3" fillId="0" borderId="0" xfId="0" applyFont="1" applyAlignment="1">
      <alignment horizontal="center"/>
    </xf>
    <xf numFmtId="0" fontId="3" fillId="5" borderId="0" xfId="0" applyFont="1" applyFill="1"/>
    <xf numFmtId="9" fontId="1" fillId="0" borderId="0" xfId="0" applyNumberFormat="1" applyFont="1" applyAlignment="1">
      <alignment horizontal="center"/>
    </xf>
    <xf numFmtId="9" fontId="1" fillId="0" borderId="5" xfId="1" applyFont="1" applyFill="1" applyBorder="1" applyAlignment="1">
      <alignment horizontal="center"/>
    </xf>
    <xf numFmtId="9" fontId="1" fillId="2" borderId="16" xfId="1" applyFont="1" applyFill="1" applyBorder="1" applyAlignment="1">
      <alignment horizontal="center"/>
    </xf>
    <xf numFmtId="0" fontId="4" fillId="0" borderId="0" xfId="0" applyFont="1" applyAlignment="1">
      <alignment horizontal="center"/>
    </xf>
    <xf numFmtId="9" fontId="4" fillId="0" borderId="0" xfId="0" applyNumberFormat="1" applyFont="1" applyAlignment="1">
      <alignment horizontal="center"/>
    </xf>
    <xf numFmtId="0" fontId="15" fillId="0" borderId="0" xfId="0" applyFont="1" applyAlignment="1">
      <alignment horizontal="center"/>
    </xf>
    <xf numFmtId="165" fontId="1" fillId="2" borderId="14" xfId="0" applyNumberFormat="1" applyFont="1" applyFill="1" applyBorder="1"/>
    <xf numFmtId="0" fontId="1" fillId="2" borderId="15" xfId="0" applyNumberFormat="1" applyFont="1" applyFill="1" applyBorder="1"/>
    <xf numFmtId="165" fontId="4" fillId="2" borderId="1" xfId="0" applyNumberFormat="1" applyFont="1" applyFill="1" applyBorder="1"/>
    <xf numFmtId="165" fontId="4" fillId="2" borderId="15" xfId="0" applyNumberFormat="1" applyFont="1" applyFill="1" applyBorder="1"/>
    <xf numFmtId="167" fontId="1" fillId="0" borderId="0" xfId="0" applyNumberFormat="1" applyFont="1" applyFill="1" applyBorder="1"/>
    <xf numFmtId="0" fontId="2" fillId="0" borderId="2" xfId="0" applyFont="1" applyBorder="1"/>
    <xf numFmtId="0" fontId="4" fillId="0" borderId="0" xfId="0" applyFont="1"/>
    <xf numFmtId="165" fontId="4" fillId="0" borderId="17" xfId="0" applyNumberFormat="1" applyFont="1" applyFill="1" applyBorder="1"/>
    <xf numFmtId="165" fontId="4" fillId="0" borderId="5" xfId="0" applyNumberFormat="1" applyFont="1" applyFill="1" applyBorder="1"/>
    <xf numFmtId="165" fontId="1" fillId="0" borderId="2" xfId="0" applyNumberFormat="1" applyFont="1" applyBorder="1"/>
    <xf numFmtId="165" fontId="1" fillId="0" borderId="0" xfId="0" applyNumberFormat="1" applyFont="1" applyBorder="1"/>
    <xf numFmtId="165" fontId="4" fillId="0" borderId="1" xfId="0" applyNumberFormat="1" applyFont="1" applyFill="1" applyBorder="1"/>
    <xf numFmtId="0" fontId="11" fillId="4" borderId="0" xfId="0" applyFont="1" applyFill="1" applyBorder="1"/>
    <xf numFmtId="0" fontId="1" fillId="0" borderId="0" xfId="0" quotePrefix="1" applyFont="1"/>
    <xf numFmtId="14" fontId="4" fillId="2" borderId="1" xfId="0" applyNumberFormat="1" applyFont="1" applyFill="1" applyBorder="1"/>
    <xf numFmtId="9" fontId="7" fillId="0" borderId="8" xfId="1" applyFont="1" applyFill="1" applyBorder="1"/>
    <xf numFmtId="9" fontId="7" fillId="0" borderId="11" xfId="1" applyFont="1" applyFill="1" applyBorder="1"/>
    <xf numFmtId="0" fontId="12" fillId="0" borderId="0" xfId="0" applyFont="1" applyAlignment="1">
      <alignment vertical="center"/>
    </xf>
    <xf numFmtId="0" fontId="1" fillId="0" borderId="0" xfId="0" applyFont="1" applyAlignment="1">
      <alignment horizontal="right"/>
    </xf>
    <xf numFmtId="0" fontId="1" fillId="2" borderId="0" xfId="0" applyFont="1" applyFill="1" applyAlignment="1">
      <alignment horizontal="left"/>
    </xf>
    <xf numFmtId="14" fontId="1" fillId="2" borderId="1" xfId="0" applyNumberFormat="1" applyFont="1" applyFill="1" applyBorder="1" applyAlignment="1">
      <alignment horizontal="right"/>
    </xf>
    <xf numFmtId="0" fontId="0" fillId="0" borderId="0" xfId="0" applyBorder="1"/>
    <xf numFmtId="0" fontId="0" fillId="0" borderId="18" xfId="0" applyBorder="1"/>
    <xf numFmtId="0" fontId="0" fillId="0" borderId="0" xfId="0" applyAlignment="1">
      <alignment horizontal="center"/>
    </xf>
    <xf numFmtId="9" fontId="0" fillId="0" borderId="0" xfId="1" applyFont="1" applyAlignment="1">
      <alignment horizontal="center"/>
    </xf>
    <xf numFmtId="0" fontId="17" fillId="6" borderId="19" xfId="0" applyFont="1" applyFill="1" applyBorder="1" applyAlignment="1">
      <alignment horizontal="center"/>
    </xf>
    <xf numFmtId="9" fontId="0" fillId="6" borderId="20" xfId="1" applyFont="1" applyFill="1" applyBorder="1" applyAlignment="1">
      <alignment horizontal="center"/>
    </xf>
    <xf numFmtId="0" fontId="0" fillId="6" borderId="20" xfId="0" applyFill="1" applyBorder="1" applyAlignment="1">
      <alignment horizontal="center"/>
    </xf>
    <xf numFmtId="0" fontId="0" fillId="6" borderId="20" xfId="0" applyFill="1" applyBorder="1"/>
    <xf numFmtId="0" fontId="17" fillId="6" borderId="21" xfId="0" applyFont="1" applyFill="1" applyBorder="1"/>
    <xf numFmtId="0" fontId="0" fillId="6" borderId="22" xfId="0" applyFont="1" applyFill="1" applyBorder="1" applyAlignment="1">
      <alignment horizontal="center"/>
    </xf>
    <xf numFmtId="9" fontId="0" fillId="6" borderId="0" xfId="1" applyFont="1" applyFill="1" applyBorder="1" applyAlignment="1">
      <alignment horizontal="center"/>
    </xf>
    <xf numFmtId="0" fontId="0" fillId="6" borderId="0" xfId="0" applyFill="1" applyBorder="1" applyAlignment="1">
      <alignment horizontal="center"/>
    </xf>
    <xf numFmtId="0" fontId="0" fillId="6" borderId="0" xfId="0" applyFill="1" applyBorder="1"/>
    <xf numFmtId="0" fontId="17" fillId="6" borderId="23" xfId="0" applyFont="1" applyFill="1" applyBorder="1"/>
    <xf numFmtId="0" fontId="0" fillId="6" borderId="0" xfId="0" applyFill="1" applyBorder="1" applyAlignment="1">
      <alignment horizontal="left" vertical="top" wrapText="1"/>
    </xf>
    <xf numFmtId="0" fontId="0" fillId="6" borderId="23" xfId="0" applyFill="1" applyBorder="1"/>
    <xf numFmtId="0" fontId="0" fillId="6" borderId="0" xfId="0" applyFill="1" applyBorder="1" applyAlignment="1">
      <alignment vertical="top" wrapText="1"/>
    </xf>
    <xf numFmtId="0" fontId="0" fillId="6" borderId="23" xfId="0" applyFill="1" applyBorder="1" applyAlignment="1">
      <alignment vertical="top" wrapText="1"/>
    </xf>
    <xf numFmtId="0" fontId="0" fillId="6" borderId="30" xfId="0" applyFill="1" applyBorder="1" applyAlignment="1">
      <alignment horizontal="center"/>
    </xf>
    <xf numFmtId="0" fontId="0" fillId="6" borderId="31" xfId="0" applyFont="1" applyFill="1" applyBorder="1" applyAlignment="1">
      <alignment horizontal="center"/>
    </xf>
    <xf numFmtId="9" fontId="0" fillId="6" borderId="32" xfId="1" applyFont="1" applyFill="1" applyBorder="1" applyAlignment="1">
      <alignment horizontal="center"/>
    </xf>
    <xf numFmtId="0" fontId="0" fillId="6" borderId="32" xfId="0" applyFill="1" applyBorder="1" applyAlignment="1">
      <alignment horizontal="center"/>
    </xf>
    <xf numFmtId="0" fontId="0" fillId="6" borderId="32" xfId="0" applyFill="1" applyBorder="1"/>
    <xf numFmtId="0" fontId="0" fillId="6" borderId="33" xfId="0" applyFill="1" applyBorder="1"/>
    <xf numFmtId="2" fontId="0" fillId="0" borderId="22" xfId="0" applyNumberFormat="1" applyFont="1" applyFill="1" applyBorder="1" applyAlignment="1">
      <alignment horizontal="center"/>
    </xf>
    <xf numFmtId="9" fontId="0" fillId="0" borderId="0" xfId="1" applyFont="1" applyBorder="1" applyAlignment="1">
      <alignment horizontal="center"/>
    </xf>
    <xf numFmtId="0" fontId="0" fillId="0" borderId="0" xfId="0" applyBorder="1" applyAlignment="1">
      <alignment horizontal="center"/>
    </xf>
    <xf numFmtId="0" fontId="17" fillId="0" borderId="23" xfId="0" applyFont="1" applyBorder="1"/>
    <xf numFmtId="0" fontId="0" fillId="0" borderId="22" xfId="0" applyFont="1" applyFill="1" applyBorder="1" applyAlignment="1">
      <alignment horizontal="center"/>
    </xf>
    <xf numFmtId="0" fontId="0" fillId="0" borderId="23" xfId="0" applyBorder="1"/>
    <xf numFmtId="2" fontId="0" fillId="0" borderId="0" xfId="0" applyNumberFormat="1" applyFill="1" applyBorder="1" applyAlignment="1">
      <alignment horizontal="center"/>
    </xf>
    <xf numFmtId="0" fontId="19" fillId="0" borderId="0" xfId="0" applyFont="1" applyBorder="1"/>
    <xf numFmtId="166" fontId="0" fillId="0" borderId="0" xfId="1" applyNumberFormat="1" applyFont="1" applyBorder="1" applyAlignment="1">
      <alignment horizontal="center"/>
    </xf>
    <xf numFmtId="2" fontId="0" fillId="0" borderId="0" xfId="0" quotePrefix="1" applyNumberFormat="1" applyFill="1" applyBorder="1" applyAlignment="1">
      <alignment horizontal="center"/>
    </xf>
    <xf numFmtId="166" fontId="0" fillId="0" borderId="34" xfId="1" applyNumberFormat="1" applyFont="1" applyBorder="1" applyAlignment="1">
      <alignment horizontal="center"/>
    </xf>
    <xf numFmtId="0" fontId="0" fillId="0" borderId="0" xfId="0" applyFont="1" applyBorder="1"/>
    <xf numFmtId="0" fontId="0" fillId="0" borderId="0" xfId="0" applyFill="1" applyBorder="1" applyAlignment="1">
      <alignment horizontal="center"/>
    </xf>
    <xf numFmtId="168" fontId="0" fillId="0" borderId="34" xfId="0" applyNumberFormat="1" applyBorder="1" applyAlignment="1">
      <alignment horizontal="center"/>
    </xf>
    <xf numFmtId="39" fontId="0" fillId="0" borderId="34" xfId="0" applyNumberFormat="1" applyBorder="1" applyAlignment="1">
      <alignment horizontal="center"/>
    </xf>
    <xf numFmtId="9" fontId="0" fillId="0" borderId="34" xfId="1" applyFont="1" applyBorder="1" applyAlignment="1">
      <alignment horizontal="center"/>
    </xf>
    <xf numFmtId="0" fontId="19" fillId="0" borderId="0" xfId="0" applyFont="1" applyBorder="1" applyAlignment="1">
      <alignment wrapText="1"/>
    </xf>
    <xf numFmtId="0" fontId="17" fillId="0" borderId="35" xfId="0" applyFont="1" applyBorder="1" applyAlignment="1">
      <alignment horizontal="center"/>
    </xf>
    <xf numFmtId="0" fontId="17" fillId="0" borderId="0" xfId="0" applyFont="1" applyBorder="1" applyAlignment="1">
      <alignment horizontal="center"/>
    </xf>
    <xf numFmtId="169" fontId="0" fillId="0" borderId="0" xfId="0" applyNumberFormat="1" applyBorder="1" applyAlignment="1">
      <alignment horizontal="center"/>
    </xf>
    <xf numFmtId="2" fontId="0" fillId="0" borderId="0" xfId="0" applyNumberFormat="1" applyBorder="1" applyAlignment="1">
      <alignment horizontal="center"/>
    </xf>
    <xf numFmtId="9" fontId="0" fillId="0" borderId="0" xfId="1" applyNumberFormat="1" applyFont="1" applyBorder="1" applyAlignment="1">
      <alignment horizontal="center"/>
    </xf>
    <xf numFmtId="0" fontId="17" fillId="0" borderId="22" xfId="0" applyFont="1" applyFill="1" applyBorder="1" applyAlignment="1">
      <alignment horizontal="center"/>
    </xf>
    <xf numFmtId="0" fontId="17" fillId="0" borderId="0" xfId="0" applyFont="1" applyFill="1" applyAlignment="1">
      <alignment horizontal="center"/>
    </xf>
    <xf numFmtId="0" fontId="17" fillId="0" borderId="0" xfId="0" applyFont="1" applyFill="1" applyBorder="1" applyAlignment="1">
      <alignment horizontal="center"/>
    </xf>
    <xf numFmtId="0" fontId="17" fillId="0" borderId="18" xfId="0" applyFont="1" applyFill="1" applyBorder="1" applyAlignment="1">
      <alignment horizontal="center"/>
    </xf>
    <xf numFmtId="0" fontId="16" fillId="0" borderId="22" xfId="0" applyFont="1" applyFill="1" applyBorder="1" applyAlignment="1">
      <alignment horizontal="center"/>
    </xf>
    <xf numFmtId="9" fontId="16" fillId="0" borderId="0" xfId="1" applyFont="1" applyFill="1" applyBorder="1" applyAlignment="1">
      <alignment horizontal="center"/>
    </xf>
    <xf numFmtId="0" fontId="16" fillId="0" borderId="0" xfId="0" applyFont="1" applyFill="1" applyBorder="1" applyAlignment="1">
      <alignment horizontal="center"/>
    </xf>
    <xf numFmtId="0" fontId="16" fillId="0" borderId="23" xfId="0" applyFont="1" applyFill="1" applyBorder="1" applyAlignment="1">
      <alignment horizontal="center"/>
    </xf>
    <xf numFmtId="0" fontId="20" fillId="0" borderId="23" xfId="0" applyFont="1" applyFill="1" applyBorder="1" applyAlignment="1">
      <alignment horizontal="left"/>
    </xf>
    <xf numFmtId="0" fontId="16" fillId="0" borderId="31" xfId="0" applyFont="1" applyFill="1" applyBorder="1" applyAlignment="1">
      <alignment horizontal="center"/>
    </xf>
    <xf numFmtId="9" fontId="16" fillId="0" borderId="32" xfId="1" applyFont="1" applyFill="1" applyBorder="1" applyAlignment="1">
      <alignment horizontal="center"/>
    </xf>
    <xf numFmtId="0" fontId="16" fillId="0" borderId="32" xfId="0" applyFont="1" applyFill="1" applyBorder="1" applyAlignment="1">
      <alignment horizontal="center"/>
    </xf>
    <xf numFmtId="0" fontId="16" fillId="0" borderId="33" xfId="0" applyFont="1" applyFill="1" applyBorder="1" applyAlignment="1">
      <alignment horizontal="center"/>
    </xf>
    <xf numFmtId="0" fontId="17" fillId="0" borderId="0" xfId="0" applyFont="1" applyAlignment="1">
      <alignment horizontal="center"/>
    </xf>
    <xf numFmtId="0" fontId="17" fillId="0" borderId="18" xfId="0" applyFont="1" applyBorder="1" applyAlignment="1">
      <alignment horizontal="center"/>
    </xf>
    <xf numFmtId="0" fontId="16" fillId="7" borderId="19" xfId="0" applyFont="1" applyFill="1" applyBorder="1" applyAlignment="1">
      <alignment horizontal="center"/>
    </xf>
    <xf numFmtId="9" fontId="16" fillId="7" borderId="20" xfId="1" applyFont="1" applyFill="1" applyBorder="1" applyAlignment="1">
      <alignment horizontal="center"/>
    </xf>
    <xf numFmtId="0" fontId="16" fillId="7" borderId="20" xfId="0" applyFont="1" applyFill="1" applyBorder="1" applyAlignment="1">
      <alignment horizontal="center"/>
    </xf>
    <xf numFmtId="0" fontId="16" fillId="7" borderId="21" xfId="0" applyFont="1" applyFill="1" applyBorder="1" applyAlignment="1">
      <alignment horizontal="center"/>
    </xf>
    <xf numFmtId="0" fontId="17" fillId="0" borderId="0" xfId="0" applyFont="1"/>
    <xf numFmtId="0" fontId="17" fillId="0" borderId="0" xfId="0" applyFont="1" applyBorder="1"/>
    <xf numFmtId="0" fontId="17" fillId="0" borderId="18" xfId="0" applyFont="1" applyBorder="1"/>
    <xf numFmtId="0" fontId="16" fillId="7" borderId="31" xfId="0" applyFont="1" applyFill="1" applyBorder="1" applyAlignment="1">
      <alignment horizontal="center"/>
    </xf>
    <xf numFmtId="9" fontId="16" fillId="7" borderId="32" xfId="1" applyFont="1" applyFill="1" applyBorder="1" applyAlignment="1">
      <alignment horizontal="center"/>
    </xf>
    <xf numFmtId="0" fontId="16" fillId="7" borderId="32" xfId="0" applyFont="1" applyFill="1" applyBorder="1" applyAlignment="1">
      <alignment horizontal="center"/>
    </xf>
    <xf numFmtId="0" fontId="16" fillId="7" borderId="32" xfId="0" applyFont="1" applyFill="1" applyBorder="1"/>
    <xf numFmtId="0" fontId="16" fillId="7" borderId="33" xfId="0" applyFont="1" applyFill="1" applyBorder="1"/>
    <xf numFmtId="0" fontId="0" fillId="0" borderId="30" xfId="0" applyBorder="1"/>
    <xf numFmtId="0" fontId="0" fillId="0" borderId="19" xfId="0" applyBorder="1"/>
    <xf numFmtId="0" fontId="0" fillId="0" borderId="21" xfId="0" applyBorder="1"/>
    <xf numFmtId="0" fontId="0" fillId="0" borderId="22" xfId="0" applyBorder="1"/>
    <xf numFmtId="49" fontId="0" fillId="0" borderId="0" xfId="0" quotePrefix="1" applyNumberFormat="1"/>
    <xf numFmtId="49" fontId="0" fillId="0" borderId="0" xfId="0" applyNumberFormat="1"/>
    <xf numFmtId="169" fontId="0" fillId="0" borderId="0" xfId="0" applyNumberFormat="1"/>
    <xf numFmtId="0" fontId="0" fillId="0" borderId="0" xfId="0" quotePrefix="1"/>
    <xf numFmtId="0" fontId="0" fillId="0" borderId="37" xfId="0" applyBorder="1"/>
    <xf numFmtId="49" fontId="0" fillId="0" borderId="38" xfId="0" applyNumberFormat="1" applyBorder="1"/>
    <xf numFmtId="49" fontId="0" fillId="0" borderId="39" xfId="0" quotePrefix="1" applyNumberFormat="1" applyBorder="1" applyAlignment="1">
      <alignment horizontal="right"/>
    </xf>
    <xf numFmtId="49" fontId="0" fillId="0" borderId="40" xfId="0" quotePrefix="1" applyNumberFormat="1" applyBorder="1" applyAlignment="1">
      <alignment horizontal="right"/>
    </xf>
    <xf numFmtId="49" fontId="0" fillId="0" borderId="21" xfId="0" quotePrefix="1" applyNumberFormat="1" applyBorder="1"/>
    <xf numFmtId="169" fontId="0" fillId="0" borderId="19" xfId="0" applyNumberFormat="1" applyBorder="1"/>
    <xf numFmtId="9" fontId="0" fillId="0" borderId="21" xfId="1" applyFont="1" applyBorder="1"/>
    <xf numFmtId="171" fontId="0" fillId="0" borderId="19" xfId="3" applyNumberFormat="1" applyFont="1" applyBorder="1"/>
    <xf numFmtId="0" fontId="0" fillId="0" borderId="40" xfId="0" applyBorder="1"/>
    <xf numFmtId="49" fontId="0" fillId="0" borderId="23" xfId="0" quotePrefix="1" applyNumberFormat="1" applyBorder="1"/>
    <xf numFmtId="169" fontId="0" fillId="0" borderId="22" xfId="0" applyNumberFormat="1" applyBorder="1"/>
    <xf numFmtId="9" fontId="0" fillId="0" borderId="23" xfId="1" applyFont="1" applyBorder="1"/>
    <xf numFmtId="171" fontId="0" fillId="0" borderId="22" xfId="3" applyNumberFormat="1" applyFont="1" applyBorder="1"/>
    <xf numFmtId="0" fontId="0" fillId="0" borderId="40" xfId="0" quotePrefix="1" applyBorder="1"/>
    <xf numFmtId="0" fontId="0" fillId="0" borderId="41" xfId="0" quotePrefix="1" applyBorder="1"/>
    <xf numFmtId="0" fontId="0" fillId="0" borderId="31" xfId="0" applyBorder="1"/>
    <xf numFmtId="49" fontId="0" fillId="0" borderId="33" xfId="0" quotePrefix="1" applyNumberFormat="1" applyBorder="1"/>
    <xf numFmtId="0" fontId="16" fillId="7" borderId="34" xfId="0" applyFont="1" applyFill="1" applyBorder="1"/>
    <xf numFmtId="171" fontId="0" fillId="0" borderId="31" xfId="3" applyNumberFormat="1" applyFont="1" applyBorder="1"/>
    <xf numFmtId="0" fontId="0" fillId="0" borderId="33" xfId="0" applyBorder="1"/>
    <xf numFmtId="0" fontId="0" fillId="0" borderId="20" xfId="0" applyBorder="1"/>
    <xf numFmtId="2" fontId="0" fillId="0" borderId="19" xfId="0" applyNumberFormat="1" applyBorder="1"/>
    <xf numFmtId="2" fontId="0" fillId="0" borderId="21" xfId="0" applyNumberFormat="1" applyBorder="1"/>
    <xf numFmtId="2" fontId="0" fillId="0" borderId="22" xfId="0" applyNumberFormat="1" applyBorder="1"/>
    <xf numFmtId="2" fontId="0" fillId="0" borderId="23" xfId="0" applyNumberFormat="1" applyBorder="1"/>
    <xf numFmtId="0" fontId="17" fillId="0" borderId="0" xfId="0" applyFont="1" applyAlignment="1"/>
    <xf numFmtId="169" fontId="0" fillId="0" borderId="31" xfId="0" applyNumberFormat="1" applyBorder="1"/>
    <xf numFmtId="9" fontId="0" fillId="0" borderId="33" xfId="1" applyFont="1" applyBorder="1"/>
    <xf numFmtId="2" fontId="0" fillId="0" borderId="21" xfId="1" applyNumberFormat="1" applyFont="1" applyBorder="1" applyAlignment="1">
      <alignment horizontal="right"/>
    </xf>
    <xf numFmtId="2" fontId="0" fillId="0" borderId="23" xfId="1" applyNumberFormat="1" applyFont="1" applyBorder="1" applyAlignment="1">
      <alignment horizontal="right"/>
    </xf>
    <xf numFmtId="166" fontId="0" fillId="0" borderId="21" xfId="1" applyNumberFormat="1" applyFont="1" applyBorder="1"/>
    <xf numFmtId="2" fontId="0" fillId="0" borderId="21" xfId="1" applyNumberFormat="1" applyFont="1" applyBorder="1"/>
    <xf numFmtId="166" fontId="0" fillId="0" borderId="23" xfId="1" applyNumberFormat="1" applyFont="1" applyBorder="1"/>
    <xf numFmtId="2" fontId="0" fillId="0" borderId="23" xfId="1" applyNumberFormat="1" applyFont="1" applyBorder="1"/>
    <xf numFmtId="169" fontId="0" fillId="0" borderId="19" xfId="0" applyNumberFormat="1" applyBorder="1" applyAlignment="1">
      <alignment horizontal="right"/>
    </xf>
    <xf numFmtId="2" fontId="0" fillId="0" borderId="21" xfId="1" applyNumberFormat="1" applyFont="1" applyBorder="1" applyAlignment="1">
      <alignment horizontal="left"/>
    </xf>
    <xf numFmtId="169" fontId="0" fillId="0" borderId="22" xfId="0" applyNumberFormat="1" applyBorder="1" applyAlignment="1">
      <alignment horizontal="right"/>
    </xf>
    <xf numFmtId="2" fontId="0" fillId="0" borderId="23" xfId="1" applyNumberFormat="1" applyFont="1" applyBorder="1" applyAlignment="1">
      <alignment horizontal="left"/>
    </xf>
    <xf numFmtId="2" fontId="0" fillId="0" borderId="33" xfId="1" applyNumberFormat="1" applyFont="1" applyBorder="1" applyAlignment="1">
      <alignment horizontal="right"/>
    </xf>
    <xf numFmtId="166" fontId="0" fillId="0" borderId="33" xfId="1" applyNumberFormat="1" applyFont="1" applyBorder="1"/>
    <xf numFmtId="169" fontId="0" fillId="0" borderId="31" xfId="0" applyNumberFormat="1" applyBorder="1" applyAlignment="1">
      <alignment horizontal="right"/>
    </xf>
    <xf numFmtId="2" fontId="0" fillId="0" borderId="33" xfId="1" applyNumberFormat="1" applyFont="1" applyBorder="1" applyAlignment="1">
      <alignment horizontal="left"/>
    </xf>
    <xf numFmtId="9" fontId="0" fillId="0" borderId="21" xfId="1" applyFont="1" applyBorder="1" applyAlignment="1">
      <alignment horizontal="right"/>
    </xf>
    <xf numFmtId="0" fontId="0" fillId="0" borderId="21" xfId="0" quotePrefix="1" applyBorder="1" applyAlignment="1">
      <alignment horizontal="left"/>
    </xf>
    <xf numFmtId="9" fontId="0" fillId="0" borderId="23" xfId="1" applyFont="1" applyBorder="1" applyAlignment="1">
      <alignment horizontal="right"/>
    </xf>
    <xf numFmtId="0" fontId="0" fillId="0" borderId="23" xfId="0" quotePrefix="1" applyBorder="1" applyAlignment="1">
      <alignment horizontal="left"/>
    </xf>
    <xf numFmtId="0" fontId="0" fillId="0" borderId="34" xfId="0" applyBorder="1"/>
    <xf numFmtId="16" fontId="0" fillId="0" borderId="23" xfId="0" quotePrefix="1" applyNumberFormat="1" applyBorder="1" applyAlignment="1">
      <alignment horizontal="left"/>
    </xf>
    <xf numFmtId="0" fontId="0" fillId="0" borderId="32" xfId="0" applyBorder="1"/>
    <xf numFmtId="2" fontId="0" fillId="0" borderId="31" xfId="0" applyNumberFormat="1" applyBorder="1"/>
    <xf numFmtId="2" fontId="0" fillId="0" borderId="33" xfId="0" applyNumberFormat="1" applyBorder="1"/>
    <xf numFmtId="9" fontId="0" fillId="0" borderId="33" xfId="1" applyFont="1" applyBorder="1" applyAlignment="1">
      <alignment horizontal="right"/>
    </xf>
    <xf numFmtId="0" fontId="0" fillId="0" borderId="33" xfId="0" applyBorder="1" applyAlignment="1">
      <alignment horizontal="left"/>
    </xf>
    <xf numFmtId="0" fontId="18" fillId="7" borderId="37" xfId="0" applyFont="1" applyFill="1" applyBorder="1" applyAlignment="1">
      <alignment horizontal="center"/>
    </xf>
    <xf numFmtId="0" fontId="18" fillId="7" borderId="42" xfId="0" applyFont="1" applyFill="1" applyBorder="1" applyAlignment="1">
      <alignment horizontal="center"/>
    </xf>
    <xf numFmtId="0" fontId="18" fillId="7" borderId="38" xfId="0" applyFont="1" applyFill="1" applyBorder="1" applyAlignment="1">
      <alignment horizontal="center"/>
    </xf>
    <xf numFmtId="0" fontId="16" fillId="7" borderId="37" xfId="0" applyFont="1" applyFill="1" applyBorder="1" applyAlignment="1">
      <alignment horizontal="center"/>
    </xf>
    <xf numFmtId="0" fontId="16" fillId="7" borderId="42" xfId="0" applyFont="1" applyFill="1" applyBorder="1" applyAlignment="1">
      <alignment horizontal="center"/>
    </xf>
    <xf numFmtId="0" fontId="16" fillId="7" borderId="38" xfId="0" applyFont="1" applyFill="1" applyBorder="1" applyAlignment="1">
      <alignment horizontal="center"/>
    </xf>
    <xf numFmtId="0" fontId="0" fillId="0" borderId="23" xfId="0" applyFill="1" applyBorder="1" applyAlignment="1">
      <alignment horizontal="left"/>
    </xf>
    <xf numFmtId="169" fontId="0" fillId="0" borderId="22" xfId="0" applyNumberFormat="1" applyFill="1" applyBorder="1"/>
    <xf numFmtId="0" fontId="0" fillId="0" borderId="21" xfId="0" applyFill="1" applyBorder="1" applyAlignment="1">
      <alignment horizontal="left"/>
    </xf>
    <xf numFmtId="0" fontId="0" fillId="0" borderId="23" xfId="0" applyBorder="1" applyAlignment="1">
      <alignment horizontal="left"/>
    </xf>
    <xf numFmtId="0" fontId="0" fillId="0" borderId="34" xfId="1" applyNumberFormat="1" applyFont="1" applyBorder="1" applyAlignment="1">
      <alignment horizontal="center"/>
    </xf>
    <xf numFmtId="0" fontId="0" fillId="0" borderId="21" xfId="0" applyBorder="1" applyAlignment="1">
      <alignment horizontal="left"/>
    </xf>
    <xf numFmtId="0" fontId="0" fillId="0" borderId="0" xfId="0" applyAlignment="1">
      <alignment horizontal="left"/>
    </xf>
    <xf numFmtId="0" fontId="0" fillId="0" borderId="23" xfId="1" applyNumberFormat="1" applyFont="1" applyBorder="1" applyAlignment="1">
      <alignment horizontal="right"/>
    </xf>
    <xf numFmtId="0" fontId="0" fillId="0" borderId="21" xfId="1" applyNumberFormat="1" applyFont="1" applyBorder="1" applyAlignment="1">
      <alignment horizontal="right"/>
    </xf>
    <xf numFmtId="0" fontId="0" fillId="0" borderId="23" xfId="1" applyNumberFormat="1" applyFont="1" applyBorder="1" applyAlignment="1">
      <alignment horizontal="left" wrapText="1"/>
    </xf>
    <xf numFmtId="0" fontId="0" fillId="0" borderId="23" xfId="1" applyNumberFormat="1" applyFont="1" applyBorder="1" applyAlignment="1">
      <alignment horizontal="left" vertical="top" wrapText="1"/>
    </xf>
    <xf numFmtId="0" fontId="0" fillId="0" borderId="21" xfId="0" applyBorder="1" applyAlignment="1">
      <alignment horizontal="left" vertical="top" wrapText="1"/>
    </xf>
    <xf numFmtId="0" fontId="1" fillId="2" borderId="43" xfId="0" applyNumberFormat="1" applyFont="1" applyFill="1" applyBorder="1"/>
    <xf numFmtId="9" fontId="1" fillId="0" borderId="0" xfId="1" applyFont="1"/>
    <xf numFmtId="173" fontId="1" fillId="0" borderId="0" xfId="2" applyNumberFormat="1" applyFont="1"/>
    <xf numFmtId="9" fontId="2" fillId="0" borderId="0" xfId="0" applyNumberFormat="1" applyFont="1"/>
    <xf numFmtId="165" fontId="4" fillId="0" borderId="3" xfId="0" applyNumberFormat="1" applyFont="1" applyFill="1" applyBorder="1"/>
    <xf numFmtId="173" fontId="0" fillId="0" borderId="34" xfId="2" applyNumberFormat="1" applyFont="1" applyBorder="1" applyAlignment="1">
      <alignment horizontal="center"/>
    </xf>
    <xf numFmtId="0" fontId="12" fillId="0" borderId="0" xfId="0" applyFont="1" applyAlignment="1">
      <alignment horizontal="center" vertical="center"/>
    </xf>
    <xf numFmtId="0" fontId="10" fillId="0" borderId="0" xfId="0" applyFont="1" applyAlignment="1"/>
    <xf numFmtId="0" fontId="20" fillId="0" borderId="0" xfId="0" applyFont="1" applyFill="1" applyBorder="1" applyAlignment="1">
      <alignment horizontal="center"/>
    </xf>
    <xf numFmtId="0" fontId="12" fillId="0" borderId="23" xfId="0" applyFont="1" applyBorder="1" applyAlignment="1">
      <alignment horizontal="center" vertical="center"/>
    </xf>
    <xf numFmtId="0" fontId="1" fillId="4" borderId="23" xfId="0" applyFont="1" applyFill="1" applyBorder="1"/>
    <xf numFmtId="0" fontId="11" fillId="4" borderId="23" xfId="0" applyFont="1" applyFill="1" applyBorder="1"/>
    <xf numFmtId="174" fontId="1" fillId="0" borderId="0" xfId="0" applyNumberFormat="1" applyFont="1"/>
    <xf numFmtId="175" fontId="12" fillId="0" borderId="0" xfId="0" applyNumberFormat="1" applyFont="1" applyAlignment="1">
      <alignment horizontal="center" vertical="center"/>
    </xf>
    <xf numFmtId="175" fontId="12" fillId="0" borderId="23" xfId="0" applyNumberFormat="1" applyFont="1" applyBorder="1" applyAlignment="1">
      <alignment horizontal="center" vertical="center"/>
    </xf>
    <xf numFmtId="0" fontId="16" fillId="7" borderId="38" xfId="0" applyFont="1" applyFill="1" applyBorder="1" applyAlignment="1">
      <alignment horizontal="center"/>
    </xf>
    <xf numFmtId="0" fontId="16" fillId="7" borderId="42" xfId="0" applyFont="1" applyFill="1" applyBorder="1" applyAlignment="1">
      <alignment horizontal="center"/>
    </xf>
    <xf numFmtId="0" fontId="16" fillId="7" borderId="37" xfId="0" applyFont="1" applyFill="1" applyBorder="1" applyAlignment="1">
      <alignment horizontal="center"/>
    </xf>
    <xf numFmtId="0" fontId="18" fillId="7" borderId="38" xfId="0" applyFont="1" applyFill="1" applyBorder="1" applyAlignment="1">
      <alignment horizontal="center"/>
    </xf>
    <xf numFmtId="0" fontId="18" fillId="7" borderId="37" xfId="0" applyFont="1" applyFill="1" applyBorder="1" applyAlignment="1">
      <alignment horizontal="center"/>
    </xf>
    <xf numFmtId="14" fontId="1" fillId="2" borderId="1" xfId="0" applyNumberFormat="1" applyFont="1" applyFill="1" applyBorder="1"/>
    <xf numFmtId="14" fontId="1" fillId="2" borderId="15" xfId="0" applyNumberFormat="1" applyFont="1" applyFill="1" applyBorder="1"/>
    <xf numFmtId="14" fontId="1" fillId="2" borderId="43" xfId="0" applyNumberFormat="1" applyFont="1" applyFill="1" applyBorder="1"/>
    <xf numFmtId="14" fontId="1" fillId="2" borderId="3" xfId="0" applyNumberFormat="1" applyFont="1" applyFill="1" applyBorder="1"/>
    <xf numFmtId="0" fontId="0" fillId="0" borderId="0" xfId="0" applyFont="1" applyFill="1" applyBorder="1"/>
    <xf numFmtId="0" fontId="0" fillId="0" borderId="0" xfId="0" applyFill="1" applyBorder="1" applyAlignment="1">
      <alignment horizontal="left"/>
    </xf>
    <xf numFmtId="0" fontId="0" fillId="0" borderId="23" xfId="0" applyNumberFormat="1" applyBorder="1" applyAlignment="1">
      <alignment horizontal="left"/>
    </xf>
    <xf numFmtId="0" fontId="0" fillId="0" borderId="21" xfId="0" applyNumberFormat="1" applyBorder="1" applyAlignment="1">
      <alignment horizontal="left"/>
    </xf>
    <xf numFmtId="0" fontId="0" fillId="0" borderId="23" xfId="0" applyFill="1" applyBorder="1"/>
    <xf numFmtId="0" fontId="0" fillId="0" borderId="21" xfId="0" applyFill="1" applyBorder="1"/>
    <xf numFmtId="1" fontId="0" fillId="0" borderId="23" xfId="0" applyNumberFormat="1" applyBorder="1" applyAlignment="1">
      <alignment horizontal="left"/>
    </xf>
    <xf numFmtId="1" fontId="0" fillId="0" borderId="23" xfId="0" applyNumberFormat="1" applyFill="1" applyBorder="1" applyAlignment="1">
      <alignment horizontal="left"/>
    </xf>
    <xf numFmtId="1" fontId="0" fillId="0" borderId="21" xfId="0" applyNumberFormat="1" applyBorder="1" applyAlignment="1">
      <alignment horizontal="left"/>
    </xf>
    <xf numFmtId="0" fontId="0" fillId="0" borderId="22" xfId="0" applyBorder="1" applyAlignment="1">
      <alignment horizontal="right"/>
    </xf>
    <xf numFmtId="0" fontId="0" fillId="0" borderId="31" xfId="0" applyBorder="1" applyAlignment="1">
      <alignment horizontal="right"/>
    </xf>
    <xf numFmtId="171" fontId="0" fillId="0" borderId="22" xfId="3" applyNumberFormat="1" applyFont="1" applyBorder="1" applyAlignment="1">
      <alignment horizontal="right"/>
    </xf>
    <xf numFmtId="9" fontId="0" fillId="0" borderId="23" xfId="1" applyFont="1" applyBorder="1" applyAlignment="1">
      <alignment horizontal="left"/>
    </xf>
    <xf numFmtId="9" fontId="0" fillId="0" borderId="21" xfId="1" applyFont="1" applyBorder="1" applyAlignment="1">
      <alignment horizontal="left"/>
    </xf>
    <xf numFmtId="0" fontId="0" fillId="0" borderId="23" xfId="1" applyNumberFormat="1" applyFont="1" applyBorder="1" applyAlignment="1">
      <alignment horizontal="left"/>
    </xf>
    <xf numFmtId="175" fontId="12" fillId="0" borderId="0" xfId="1" applyNumberFormat="1" applyFont="1" applyAlignment="1">
      <alignment horizontal="center" vertical="center"/>
    </xf>
    <xf numFmtId="175" fontId="12" fillId="0" borderId="23" xfId="1" applyNumberFormat="1" applyFont="1" applyBorder="1" applyAlignment="1">
      <alignment horizontal="center" vertical="center"/>
    </xf>
    <xf numFmtId="9" fontId="0" fillId="0" borderId="21" xfId="1" applyFont="1" applyFill="1" applyBorder="1" applyAlignment="1">
      <alignment horizontal="left"/>
    </xf>
    <xf numFmtId="166" fontId="0" fillId="0" borderId="34" xfId="1" applyNumberFormat="1" applyFont="1" applyBorder="1" applyAlignment="1">
      <alignment horizontal="center" wrapText="1"/>
    </xf>
    <xf numFmtId="2" fontId="0" fillId="0" borderId="22" xfId="0" applyNumberFormat="1" applyBorder="1" applyAlignment="1">
      <alignment horizontal="right" vertical="top"/>
    </xf>
    <xf numFmtId="2" fontId="0" fillId="0" borderId="19" xfId="0" applyNumberFormat="1" applyBorder="1" applyAlignment="1">
      <alignment horizontal="right" vertical="top"/>
    </xf>
    <xf numFmtId="2" fontId="0" fillId="0" borderId="22" xfId="1" applyNumberFormat="1" applyFont="1" applyBorder="1" applyAlignment="1">
      <alignment horizontal="right" wrapText="1"/>
    </xf>
    <xf numFmtId="2" fontId="0" fillId="0" borderId="23" xfId="1" applyNumberFormat="1" applyFont="1" applyBorder="1" applyAlignment="1">
      <alignment horizontal="left" wrapText="1"/>
    </xf>
    <xf numFmtId="2" fontId="0" fillId="0" borderId="23" xfId="1" applyNumberFormat="1" applyFont="1" applyBorder="1" applyAlignment="1">
      <alignment horizontal="left" vertical="top" wrapText="1"/>
    </xf>
    <xf numFmtId="2" fontId="0" fillId="0" borderId="23" xfId="1" applyNumberFormat="1" applyFont="1" applyBorder="1" applyAlignment="1">
      <alignment horizontal="left" vertical="top"/>
    </xf>
    <xf numFmtId="2" fontId="0" fillId="0" borderId="23" xfId="0" applyNumberFormat="1" applyBorder="1" applyAlignment="1">
      <alignment horizontal="left" vertical="top" wrapText="1"/>
    </xf>
    <xf numFmtId="2" fontId="0" fillId="0" borderId="21" xfId="0" applyNumberFormat="1" applyBorder="1" applyAlignment="1">
      <alignment horizontal="left" vertical="top" wrapText="1"/>
    </xf>
    <xf numFmtId="14" fontId="1" fillId="0" borderId="0" xfId="0" applyNumberFormat="1" applyFont="1" applyAlignment="1">
      <alignment horizontal="right"/>
    </xf>
    <xf numFmtId="14" fontId="1" fillId="0" borderId="23" xfId="0" applyNumberFormat="1" applyFont="1" applyBorder="1" applyAlignment="1">
      <alignment horizontal="right"/>
    </xf>
    <xf numFmtId="0" fontId="1" fillId="2" borderId="12" xfId="0" applyNumberFormat="1" applyFont="1" applyFill="1" applyBorder="1"/>
    <xf numFmtId="0" fontId="1" fillId="2" borderId="13" xfId="0" applyNumberFormat="1" applyFont="1" applyFill="1" applyBorder="1"/>
    <xf numFmtId="165" fontId="10" fillId="2" borderId="1" xfId="0" applyNumberFormat="1" applyFont="1" applyFill="1" applyBorder="1" applyAlignment="1">
      <alignment vertical="center"/>
    </xf>
    <xf numFmtId="165" fontId="10" fillId="2" borderId="15" xfId="0" applyNumberFormat="1" applyFont="1" applyFill="1" applyBorder="1" applyAlignment="1">
      <alignment vertical="center"/>
    </xf>
    <xf numFmtId="165" fontId="10" fillId="2" borderId="43" xfId="0" applyNumberFormat="1" applyFont="1" applyFill="1" applyBorder="1" applyAlignment="1">
      <alignment vertical="center"/>
    </xf>
    <xf numFmtId="165" fontId="1" fillId="2" borderId="1" xfId="0" applyNumberFormat="1" applyFont="1" applyFill="1" applyBorder="1" applyAlignment="1">
      <alignment vertical="center"/>
    </xf>
    <xf numFmtId="165" fontId="1" fillId="2" borderId="15" xfId="0" applyNumberFormat="1" applyFont="1" applyFill="1" applyBorder="1" applyAlignment="1">
      <alignment vertical="center"/>
    </xf>
    <xf numFmtId="165" fontId="1" fillId="2" borderId="43" xfId="0" applyNumberFormat="1" applyFont="1" applyFill="1" applyBorder="1" applyAlignment="1">
      <alignment vertical="center"/>
    </xf>
    <xf numFmtId="166" fontId="1" fillId="2" borderId="1" xfId="1" applyNumberFormat="1" applyFont="1" applyFill="1" applyBorder="1" applyAlignment="1">
      <alignment vertical="center"/>
    </xf>
    <xf numFmtId="166" fontId="1" fillId="2" borderId="15" xfId="1" applyNumberFormat="1" applyFont="1" applyFill="1" applyBorder="1" applyAlignment="1">
      <alignment vertical="center"/>
    </xf>
    <xf numFmtId="166" fontId="1" fillId="2" borderId="43" xfId="1" applyNumberFormat="1" applyFont="1" applyFill="1" applyBorder="1" applyAlignment="1">
      <alignment vertical="center"/>
    </xf>
    <xf numFmtId="9" fontId="10" fillId="2" borderId="1" xfId="1" applyFont="1" applyFill="1" applyBorder="1" applyAlignment="1">
      <alignment vertical="center"/>
    </xf>
    <xf numFmtId="9" fontId="10" fillId="2" borderId="15" xfId="1" applyFont="1" applyFill="1" applyBorder="1" applyAlignment="1">
      <alignment vertical="center"/>
    </xf>
    <xf numFmtId="9" fontId="10" fillId="2" borderId="43" xfId="1" applyFont="1" applyFill="1" applyBorder="1" applyAlignment="1">
      <alignment vertical="center"/>
    </xf>
    <xf numFmtId="9" fontId="1" fillId="2" borderId="1" xfId="1" applyFont="1" applyFill="1" applyBorder="1" applyAlignment="1">
      <alignment vertical="center"/>
    </xf>
    <xf numFmtId="9" fontId="1" fillId="2" borderId="15" xfId="1" applyFont="1" applyFill="1" applyBorder="1" applyAlignment="1">
      <alignment vertical="center"/>
    </xf>
    <xf numFmtId="9" fontId="1" fillId="2" borderId="43" xfId="1" applyFont="1" applyFill="1" applyBorder="1" applyAlignment="1">
      <alignment vertical="center"/>
    </xf>
    <xf numFmtId="165" fontId="1" fillId="3" borderId="1" xfId="0" applyNumberFormat="1" applyFont="1" applyFill="1" applyBorder="1" applyAlignment="1">
      <alignment vertical="center"/>
    </xf>
    <xf numFmtId="9" fontId="7" fillId="0" borderId="1" xfId="1" applyFont="1" applyFill="1" applyBorder="1" applyAlignment="1">
      <alignment vertical="center"/>
    </xf>
    <xf numFmtId="165" fontId="7" fillId="0" borderId="1" xfId="0" applyNumberFormat="1" applyFont="1" applyFill="1" applyBorder="1" applyAlignment="1">
      <alignment vertical="center"/>
    </xf>
    <xf numFmtId="0" fontId="1" fillId="0" borderId="0" xfId="0" applyFont="1" applyAlignment="1">
      <alignment vertical="center"/>
    </xf>
    <xf numFmtId="165" fontId="1" fillId="0" borderId="0" xfId="0" applyNumberFormat="1" applyFont="1" applyFill="1" applyBorder="1" applyAlignment="1">
      <alignment vertical="center"/>
    </xf>
    <xf numFmtId="165" fontId="1" fillId="0" borderId="0" xfId="0" applyNumberFormat="1" applyFont="1" applyAlignment="1">
      <alignment vertical="center"/>
    </xf>
    <xf numFmtId="0" fontId="7" fillId="0" borderId="0" xfId="0" applyFont="1" applyAlignment="1">
      <alignment horizontal="left" vertical="center"/>
    </xf>
    <xf numFmtId="0" fontId="5" fillId="0" borderId="0" xfId="0" applyFont="1" applyAlignment="1">
      <alignment vertical="center"/>
    </xf>
    <xf numFmtId="0" fontId="2" fillId="0" borderId="0" xfId="0" applyFont="1" applyAlignment="1">
      <alignment horizontal="center" vertical="center"/>
    </xf>
    <xf numFmtId="167" fontId="1" fillId="0" borderId="0" xfId="0" applyNumberFormat="1" applyFont="1"/>
    <xf numFmtId="9" fontId="7" fillId="0" borderId="1" xfId="1" applyFont="1" applyFill="1" applyBorder="1" applyAlignment="1">
      <alignment horizontal="right" vertical="center"/>
    </xf>
    <xf numFmtId="165" fontId="1" fillId="2" borderId="46" xfId="0" applyNumberFormat="1" applyFont="1" applyFill="1" applyBorder="1" applyAlignment="1">
      <alignment vertical="center"/>
    </xf>
    <xf numFmtId="165" fontId="1" fillId="2" borderId="13" xfId="0" applyNumberFormat="1" applyFont="1" applyFill="1" applyBorder="1" applyAlignment="1">
      <alignment vertical="center"/>
    </xf>
    <xf numFmtId="165" fontId="1" fillId="2" borderId="16" xfId="0" applyNumberFormat="1" applyFont="1" applyFill="1" applyBorder="1" applyAlignment="1">
      <alignment vertical="center"/>
    </xf>
    <xf numFmtId="165" fontId="1" fillId="2" borderId="44" xfId="0" applyNumberFormat="1" applyFont="1" applyFill="1" applyBorder="1" applyAlignment="1">
      <alignment vertical="center"/>
    </xf>
    <xf numFmtId="43" fontId="1" fillId="0" borderId="0" xfId="2" applyFont="1"/>
    <xf numFmtId="0" fontId="1" fillId="0" borderId="15" xfId="0" applyFont="1" applyBorder="1" applyAlignment="1">
      <alignment horizontal="center"/>
    </xf>
    <xf numFmtId="0" fontId="1" fillId="0" borderId="12" xfId="0" applyFont="1" applyBorder="1" applyAlignment="1">
      <alignment horizontal="center"/>
    </xf>
    <xf numFmtId="0" fontId="1" fillId="0" borderId="46" xfId="0" applyFont="1" applyBorder="1" applyAlignment="1">
      <alignment horizontal="center"/>
    </xf>
    <xf numFmtId="0" fontId="1" fillId="0" borderId="13" xfId="0" applyFont="1" applyBorder="1" applyAlignment="1">
      <alignment horizontal="center"/>
    </xf>
    <xf numFmtId="0" fontId="5" fillId="0" borderId="0" xfId="0" applyFont="1" applyAlignment="1">
      <alignment horizontal="left" vertical="center"/>
    </xf>
    <xf numFmtId="0" fontId="2" fillId="0" borderId="0" xfId="0" applyFont="1" applyAlignment="1">
      <alignment horizontal="center" vertical="center"/>
    </xf>
    <xf numFmtId="14" fontId="1" fillId="2" borderId="0" xfId="0" applyNumberFormat="1" applyFont="1" applyFill="1" applyAlignment="1">
      <alignment horizontal="center"/>
    </xf>
    <xf numFmtId="0" fontId="1" fillId="2" borderId="0" xfId="0" applyFont="1" applyFill="1" applyAlignment="1">
      <alignment horizontal="left"/>
    </xf>
    <xf numFmtId="0" fontId="1" fillId="2" borderId="0" xfId="0" applyFont="1" applyFill="1" applyAlignment="1">
      <alignment horizontal="center"/>
    </xf>
    <xf numFmtId="0" fontId="2" fillId="0" borderId="0" xfId="0" applyFont="1" applyAlignment="1">
      <alignment horizontal="center"/>
    </xf>
    <xf numFmtId="0" fontId="2" fillId="0" borderId="0" xfId="0" applyFont="1" applyBorder="1" applyAlignment="1">
      <alignment horizontal="center"/>
    </xf>
    <xf numFmtId="0" fontId="13" fillId="5" borderId="0" xfId="0" applyFont="1" applyFill="1" applyAlignment="1">
      <alignment horizontal="center"/>
    </xf>
    <xf numFmtId="0" fontId="3" fillId="5" borderId="15" xfId="1" applyNumberFormat="1" applyFont="1" applyFill="1" applyBorder="1" applyAlignment="1">
      <alignment horizontal="center"/>
    </xf>
    <xf numFmtId="0" fontId="3" fillId="5" borderId="12" xfId="1" applyNumberFormat="1" applyFont="1" applyFill="1" applyBorder="1" applyAlignment="1">
      <alignment horizontal="center"/>
    </xf>
    <xf numFmtId="0" fontId="3" fillId="5" borderId="13" xfId="1" applyNumberFormat="1" applyFont="1" applyFill="1" applyBorder="1" applyAlignment="1">
      <alignment horizontal="center"/>
    </xf>
    <xf numFmtId="0" fontId="19" fillId="6" borderId="29" xfId="0" applyFont="1" applyFill="1" applyBorder="1" applyAlignment="1">
      <alignment horizontal="left" vertical="top" wrapText="1"/>
    </xf>
    <xf numFmtId="0" fontId="19" fillId="6" borderId="28" xfId="0" applyFont="1" applyFill="1" applyBorder="1" applyAlignment="1">
      <alignment horizontal="left" vertical="top" wrapText="1"/>
    </xf>
    <xf numFmtId="0" fontId="19" fillId="6" borderId="27" xfId="0" applyFont="1" applyFill="1" applyBorder="1" applyAlignment="1">
      <alignment horizontal="left" vertical="top" wrapText="1"/>
    </xf>
    <xf numFmtId="0" fontId="19" fillId="6" borderId="26" xfId="0" applyFont="1" applyFill="1" applyBorder="1" applyAlignment="1">
      <alignment horizontal="left" vertical="top" wrapText="1"/>
    </xf>
    <xf numFmtId="0" fontId="19" fillId="6" borderId="25" xfId="0" applyFont="1" applyFill="1" applyBorder="1" applyAlignment="1">
      <alignment horizontal="left" vertical="top" wrapText="1"/>
    </xf>
    <xf numFmtId="0" fontId="19" fillId="6" borderId="24" xfId="0" applyFont="1" applyFill="1" applyBorder="1" applyAlignment="1">
      <alignment horizontal="left" vertical="top" wrapText="1"/>
    </xf>
    <xf numFmtId="0" fontId="17" fillId="0" borderId="0" xfId="0" applyFont="1" applyAlignment="1">
      <alignment horizontal="left"/>
    </xf>
    <xf numFmtId="0" fontId="17" fillId="0" borderId="36" xfId="0" applyFont="1" applyBorder="1" applyAlignment="1">
      <alignment horizontal="left"/>
    </xf>
    <xf numFmtId="0" fontId="4" fillId="0" borderId="0" xfId="0" applyFont="1" applyAlignment="1">
      <alignment horizontal="center" vertical="center"/>
    </xf>
    <xf numFmtId="0" fontId="23" fillId="0" borderId="0" xfId="0" applyFont="1" applyAlignment="1">
      <alignment horizontal="center"/>
    </xf>
    <xf numFmtId="165" fontId="1" fillId="2" borderId="16" xfId="0" applyNumberFormat="1" applyFont="1" applyFill="1" applyBorder="1" applyAlignment="1">
      <alignment horizontal="center" vertical="center"/>
    </xf>
    <xf numFmtId="165" fontId="1" fillId="2" borderId="44" xfId="0" applyNumberFormat="1" applyFont="1" applyFill="1" applyBorder="1" applyAlignment="1">
      <alignment horizontal="center" vertical="center"/>
    </xf>
    <xf numFmtId="0" fontId="23" fillId="0" borderId="0" xfId="0" applyFont="1" applyAlignment="1">
      <alignment horizontal="center" vertical="center"/>
    </xf>
    <xf numFmtId="0" fontId="4" fillId="0" borderId="0" xfId="0" applyFont="1" applyAlignment="1">
      <alignment horizontal="center" vertical="center" wrapText="1"/>
    </xf>
    <xf numFmtId="165" fontId="1" fillId="2" borderId="45" xfId="0" applyNumberFormat="1" applyFont="1" applyFill="1" applyBorder="1" applyAlignment="1">
      <alignment horizontal="center" vertical="center"/>
    </xf>
    <xf numFmtId="0" fontId="1" fillId="0" borderId="0" xfId="0" applyFont="1" applyAlignment="1">
      <alignment horizontal="center" vertical="center"/>
    </xf>
    <xf numFmtId="0" fontId="2" fillId="0" borderId="0" xfId="0" applyFont="1" applyAlignment="1">
      <alignment horizontal="right"/>
    </xf>
    <xf numFmtId="0" fontId="2" fillId="0" borderId="0" xfId="0" applyFont="1" applyAlignment="1">
      <alignment horizontal="center" vertical="center" wrapText="1"/>
    </xf>
    <xf numFmtId="2" fontId="2" fillId="0" borderId="0" xfId="0" applyNumberFormat="1" applyFont="1" applyAlignment="1">
      <alignment horizontal="center" vertical="center"/>
    </xf>
    <xf numFmtId="172" fontId="2" fillId="0" borderId="0" xfId="2" applyNumberFormat="1" applyFont="1" applyAlignment="1">
      <alignment horizontal="center" vertical="center"/>
    </xf>
    <xf numFmtId="0" fontId="16" fillId="7" borderId="38" xfId="0" applyFont="1" applyFill="1" applyBorder="1" applyAlignment="1">
      <alignment horizontal="center"/>
    </xf>
    <xf numFmtId="0" fontId="16" fillId="7" borderId="42" xfId="0" applyFont="1" applyFill="1" applyBorder="1" applyAlignment="1">
      <alignment horizontal="center"/>
    </xf>
    <xf numFmtId="0" fontId="16" fillId="7" borderId="37" xfId="0" applyFont="1" applyFill="1" applyBorder="1" applyAlignment="1">
      <alignment horizontal="center"/>
    </xf>
    <xf numFmtId="0" fontId="17" fillId="0" borderId="0" xfId="0" applyFont="1" applyAlignment="1">
      <alignment horizontal="center"/>
    </xf>
    <xf numFmtId="0" fontId="18" fillId="7" borderId="38" xfId="0" applyFont="1" applyFill="1" applyBorder="1" applyAlignment="1">
      <alignment horizontal="center"/>
    </xf>
    <xf numFmtId="0" fontId="18" fillId="7" borderId="37" xfId="0" applyFont="1" applyFill="1" applyBorder="1" applyAlignment="1">
      <alignment horizontal="center"/>
    </xf>
    <xf numFmtId="0" fontId="16" fillId="7" borderId="33" xfId="0" applyFont="1" applyFill="1" applyBorder="1" applyAlignment="1">
      <alignment horizontal="center"/>
    </xf>
    <xf numFmtId="0" fontId="16" fillId="7" borderId="31" xfId="0" applyFont="1" applyFill="1" applyBorder="1" applyAlignment="1">
      <alignment horizontal="center"/>
    </xf>
    <xf numFmtId="178" fontId="1" fillId="0" borderId="0" xfId="0" applyNumberFormat="1" applyFont="1"/>
    <xf numFmtId="175" fontId="12" fillId="0" borderId="0" xfId="1" applyNumberFormat="1" applyFont="1" applyBorder="1" applyAlignment="1">
      <alignment horizontal="center" vertical="center"/>
    </xf>
    <xf numFmtId="0" fontId="12" fillId="0" borderId="0" xfId="0" applyFont="1" applyBorder="1" applyAlignment="1">
      <alignment horizontal="center" vertical="center"/>
    </xf>
    <xf numFmtId="14" fontId="7" fillId="0" borderId="0" xfId="0" applyNumberFormat="1" applyFont="1" applyAlignment="1">
      <alignment horizontal="right" vertical="center"/>
    </xf>
    <xf numFmtId="0" fontId="1" fillId="4" borderId="48" xfId="0" applyFont="1" applyFill="1" applyBorder="1"/>
    <xf numFmtId="0" fontId="11" fillId="4" borderId="49" xfId="0" applyFont="1" applyFill="1" applyBorder="1"/>
    <xf numFmtId="165" fontId="5" fillId="2" borderId="1" xfId="0" applyNumberFormat="1" applyFont="1" applyFill="1" applyBorder="1" applyAlignment="1">
      <alignment vertical="center"/>
    </xf>
    <xf numFmtId="165" fontId="5" fillId="2" borderId="1" xfId="0" applyNumberFormat="1" applyFont="1" applyFill="1" applyBorder="1" applyAlignment="1">
      <alignment horizontal="right" vertical="center"/>
    </xf>
    <xf numFmtId="0" fontId="5" fillId="4" borderId="0" xfId="0" applyFont="1" applyFill="1"/>
    <xf numFmtId="165" fontId="12" fillId="2" borderId="1" xfId="0" applyNumberFormat="1" applyFont="1" applyFill="1" applyBorder="1" applyAlignment="1">
      <alignment vertical="center"/>
    </xf>
    <xf numFmtId="165" fontId="5" fillId="2" borderId="15" xfId="0" applyNumberFormat="1" applyFont="1" applyFill="1" applyBorder="1" applyAlignment="1">
      <alignment vertical="center"/>
    </xf>
    <xf numFmtId="166" fontId="5" fillId="2" borderId="1" xfId="1" applyNumberFormat="1" applyFont="1" applyFill="1" applyBorder="1" applyAlignment="1">
      <alignment vertical="center"/>
    </xf>
    <xf numFmtId="9" fontId="12" fillId="2" borderId="1" xfId="1" applyFont="1" applyFill="1" applyBorder="1" applyAlignment="1">
      <alignment vertical="center"/>
    </xf>
    <xf numFmtId="9" fontId="5" fillId="2" borderId="1" xfId="1" applyFont="1" applyFill="1" applyBorder="1" applyAlignment="1">
      <alignment vertical="center"/>
    </xf>
    <xf numFmtId="0" fontId="5" fillId="4" borderId="1" xfId="0" applyFont="1" applyFill="1" applyBorder="1"/>
    <xf numFmtId="0" fontId="5" fillId="4" borderId="0" xfId="0" applyFont="1" applyFill="1" applyBorder="1"/>
    <xf numFmtId="9" fontId="5" fillId="2" borderId="1" xfId="1" applyFont="1" applyFill="1" applyBorder="1" applyAlignment="1">
      <alignment horizontal="right" vertical="center"/>
    </xf>
    <xf numFmtId="9" fontId="5" fillId="2" borderId="13" xfId="1" applyFont="1" applyFill="1" applyBorder="1" applyAlignment="1">
      <alignment horizontal="right" vertical="center"/>
    </xf>
    <xf numFmtId="9" fontId="5" fillId="2" borderId="12" xfId="1" applyFont="1" applyFill="1" applyBorder="1" applyAlignment="1">
      <alignment horizontal="right" vertical="center"/>
    </xf>
    <xf numFmtId="165" fontId="5" fillId="2" borderId="13" xfId="0" applyNumberFormat="1" applyFont="1" applyFill="1" applyBorder="1" applyAlignment="1">
      <alignment vertical="center"/>
    </xf>
    <xf numFmtId="165" fontId="5" fillId="2" borderId="12" xfId="0" applyNumberFormat="1" applyFont="1" applyFill="1" applyBorder="1" applyAlignment="1">
      <alignment vertical="center"/>
    </xf>
    <xf numFmtId="0" fontId="25" fillId="4" borderId="0" xfId="0" applyFont="1" applyFill="1"/>
    <xf numFmtId="0" fontId="25" fillId="4" borderId="0" xfId="0" applyFont="1" applyFill="1" applyBorder="1"/>
    <xf numFmtId="14" fontId="7" fillId="0" borderId="0" xfId="0" applyNumberFormat="1" applyFont="1" applyBorder="1" applyAlignment="1">
      <alignment horizontal="right" vertical="center"/>
    </xf>
    <xf numFmtId="165" fontId="5" fillId="2" borderId="15" xfId="0" applyNumberFormat="1" applyFont="1" applyFill="1" applyBorder="1" applyAlignment="1">
      <alignment horizontal="right" vertical="center"/>
    </xf>
    <xf numFmtId="165" fontId="12" fillId="2" borderId="15" xfId="0" applyNumberFormat="1" applyFont="1" applyFill="1" applyBorder="1" applyAlignment="1">
      <alignment vertical="center"/>
    </xf>
    <xf numFmtId="166" fontId="5" fillId="2" borderId="15" xfId="1" applyNumberFormat="1" applyFont="1" applyFill="1" applyBorder="1" applyAlignment="1">
      <alignment vertical="center"/>
    </xf>
    <xf numFmtId="9" fontId="12" fillId="2" borderId="15" xfId="1" applyFont="1" applyFill="1" applyBorder="1" applyAlignment="1">
      <alignment vertical="center"/>
    </xf>
    <xf numFmtId="9" fontId="5" fillId="2" borderId="15" xfId="1" applyFont="1" applyFill="1" applyBorder="1" applyAlignment="1">
      <alignment vertical="center"/>
    </xf>
    <xf numFmtId="9" fontId="5" fillId="2" borderId="15" xfId="1" applyFont="1" applyFill="1" applyBorder="1" applyAlignment="1">
      <alignment horizontal="right" vertical="center"/>
    </xf>
    <xf numFmtId="0" fontId="26" fillId="4" borderId="10" xfId="0" applyFont="1" applyFill="1" applyBorder="1" applyAlignment="1">
      <alignment horizontal="center" vertical="center"/>
    </xf>
    <xf numFmtId="0" fontId="27" fillId="4" borderId="10" xfId="0" applyFont="1" applyFill="1" applyBorder="1" applyAlignment="1">
      <alignment horizontal="center" vertical="center"/>
    </xf>
    <xf numFmtId="0" fontId="27" fillId="4" borderId="47" xfId="0" applyFont="1" applyFill="1" applyBorder="1" applyAlignment="1">
      <alignment horizontal="center" vertical="center"/>
    </xf>
    <xf numFmtId="165" fontId="10" fillId="2" borderId="46" xfId="0" applyNumberFormat="1" applyFont="1" applyFill="1" applyBorder="1" applyAlignment="1">
      <alignment vertical="center"/>
    </xf>
  </cellXfs>
  <cellStyles count="4">
    <cellStyle name="Comma" xfId="2" builtinId="3"/>
    <cellStyle name="Comma 2" xfId="3"/>
    <cellStyle name="Normal" xfId="0" builtinId="0"/>
    <cellStyle name="Percent" xfId="1" builtinId="5"/>
  </cellStyles>
  <dxfs count="0"/>
  <tableStyles count="0" defaultTableStyle="TableStyleMedium2" defaultPivotStyle="PivotStyleLight16"/>
  <colors>
    <mruColors>
      <color rgb="FFFF3300"/>
      <color rgb="FFFF0000"/>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unaida/AppData/Local/Microsoft/Windows/Temporary%20Internet%20Files/Content.Outlook/Q28UIFQD/Financial%20Ratings%20Template%20DRAFT%201%201%2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S - Base Currency"/>
      <sheetName val="IS &amp; CFS - Base Currency"/>
      <sheetName val="BS - Alt Currency"/>
      <sheetName val="IS &amp; CFS - Alt Currency"/>
      <sheetName val="Ratios"/>
      <sheetName val="Rating"/>
      <sheetName val="Reference Data"/>
    </sheetNames>
    <sheetDataSet>
      <sheetData sheetId="0">
        <row r="8">
          <cell r="C8"/>
          <cell r="D8" t="str">
            <v>-</v>
          </cell>
          <cell r="E8" t="str">
            <v>-</v>
          </cell>
          <cell r="F8"/>
          <cell r="G8" t="str">
            <v>-</v>
          </cell>
          <cell r="H8"/>
          <cell r="I8" t="str">
            <v>-</v>
          </cell>
          <cell r="J8" t="str">
            <v>-</v>
          </cell>
          <cell r="K8"/>
          <cell r="L8" t="str">
            <v>-</v>
          </cell>
          <cell r="M8" t="str">
            <v>-</v>
          </cell>
          <cell r="N8"/>
        </row>
        <row r="10">
          <cell r="C10"/>
          <cell r="D10" t="str">
            <v>-</v>
          </cell>
          <cell r="E10" t="str">
            <v>-</v>
          </cell>
          <cell r="F10"/>
          <cell r="G10" t="str">
            <v>-</v>
          </cell>
          <cell r="H10"/>
          <cell r="I10" t="str">
            <v>-</v>
          </cell>
          <cell r="J10" t="str">
            <v>-</v>
          </cell>
          <cell r="K10"/>
          <cell r="L10" t="str">
            <v>-</v>
          </cell>
          <cell r="M10" t="str">
            <v>-</v>
          </cell>
          <cell r="N10"/>
        </row>
        <row r="14">
          <cell r="C14">
            <v>0</v>
          </cell>
          <cell r="D14" t="str">
            <v>-</v>
          </cell>
          <cell r="E14" t="str">
            <v>-</v>
          </cell>
          <cell r="F14">
            <v>0</v>
          </cell>
          <cell r="G14" t="str">
            <v>-</v>
          </cell>
          <cell r="H14">
            <v>0</v>
          </cell>
          <cell r="I14" t="str">
            <v>-</v>
          </cell>
          <cell r="J14" t="str">
            <v>-</v>
          </cell>
          <cell r="K14">
            <v>0</v>
          </cell>
          <cell r="L14" t="str">
            <v>-</v>
          </cell>
          <cell r="M14" t="str">
            <v>-</v>
          </cell>
          <cell r="N14">
            <v>0</v>
          </cell>
        </row>
        <row r="27">
          <cell r="C27">
            <v>0</v>
          </cell>
          <cell r="D27" t="str">
            <v>-</v>
          </cell>
          <cell r="E27" t="str">
            <v>-</v>
          </cell>
          <cell r="F27">
            <v>0</v>
          </cell>
          <cell r="G27" t="str">
            <v>-</v>
          </cell>
          <cell r="H27">
            <v>0</v>
          </cell>
          <cell r="I27" t="str">
            <v>-</v>
          </cell>
          <cell r="J27" t="str">
            <v>-</v>
          </cell>
          <cell r="K27">
            <v>0</v>
          </cell>
          <cell r="L27" t="str">
            <v>-</v>
          </cell>
          <cell r="M27" t="str">
            <v>-</v>
          </cell>
          <cell r="N27">
            <v>0</v>
          </cell>
          <cell r="O27" t="str">
            <v>-</v>
          </cell>
        </row>
        <row r="38">
          <cell r="C38">
            <v>0</v>
          </cell>
          <cell r="D38" t="str">
            <v>-</v>
          </cell>
          <cell r="E38" t="str">
            <v>-</v>
          </cell>
          <cell r="F38">
            <v>0</v>
          </cell>
          <cell r="G38" t="str">
            <v>-</v>
          </cell>
          <cell r="H38">
            <v>0</v>
          </cell>
          <cell r="I38" t="str">
            <v>-</v>
          </cell>
          <cell r="J38" t="str">
            <v>-</v>
          </cell>
          <cell r="K38">
            <v>0</v>
          </cell>
          <cell r="L38" t="str">
            <v>-</v>
          </cell>
          <cell r="M38" t="str">
            <v>-</v>
          </cell>
          <cell r="N38">
            <v>0</v>
          </cell>
        </row>
        <row r="58">
          <cell r="C58">
            <v>0</v>
          </cell>
          <cell r="D58" t="str">
            <v>-</v>
          </cell>
          <cell r="E58" t="str">
            <v>-</v>
          </cell>
          <cell r="F58">
            <v>0</v>
          </cell>
          <cell r="G58" t="str">
            <v>-</v>
          </cell>
          <cell r="H58">
            <v>0</v>
          </cell>
          <cell r="I58" t="str">
            <v>-</v>
          </cell>
          <cell r="J58" t="str">
            <v>-</v>
          </cell>
          <cell r="K58">
            <v>0</v>
          </cell>
          <cell r="L58" t="str">
            <v>-</v>
          </cell>
          <cell r="M58" t="str">
            <v>-</v>
          </cell>
          <cell r="N58">
            <v>0</v>
          </cell>
        </row>
        <row r="66">
          <cell r="C66">
            <v>0</v>
          </cell>
          <cell r="D66"/>
          <cell r="E66"/>
          <cell r="F66">
            <v>0</v>
          </cell>
          <cell r="G66"/>
          <cell r="H66">
            <v>0</v>
          </cell>
          <cell r="I66"/>
          <cell r="J66"/>
          <cell r="K66">
            <v>0</v>
          </cell>
          <cell r="L66"/>
          <cell r="M66"/>
          <cell r="N66">
            <v>0</v>
          </cell>
        </row>
        <row r="67">
          <cell r="C67">
            <v>0</v>
          </cell>
          <cell r="D67"/>
          <cell r="E67"/>
          <cell r="F67">
            <v>0</v>
          </cell>
          <cell r="G67"/>
          <cell r="H67">
            <v>0</v>
          </cell>
          <cell r="I67"/>
          <cell r="J67"/>
          <cell r="K67">
            <v>0</v>
          </cell>
          <cell r="L67"/>
          <cell r="M67"/>
          <cell r="N67">
            <v>0</v>
          </cell>
        </row>
        <row r="68">
          <cell r="C68">
            <v>0</v>
          </cell>
          <cell r="F68">
            <v>0</v>
          </cell>
          <cell r="H68">
            <v>0</v>
          </cell>
          <cell r="K68">
            <v>0</v>
          </cell>
          <cell r="N68">
            <v>0</v>
          </cell>
        </row>
      </sheetData>
      <sheetData sheetId="1">
        <row r="7">
          <cell r="C7"/>
          <cell r="D7" t="str">
            <v>-</v>
          </cell>
          <cell r="E7" t="str">
            <v>-</v>
          </cell>
          <cell r="F7"/>
          <cell r="G7" t="str">
            <v>-</v>
          </cell>
          <cell r="H7"/>
          <cell r="I7" t="str">
            <v>-</v>
          </cell>
          <cell r="J7" t="str">
            <v>-</v>
          </cell>
          <cell r="K7"/>
          <cell r="L7" t="str">
            <v>-</v>
          </cell>
          <cell r="M7" t="str">
            <v>-</v>
          </cell>
          <cell r="N7"/>
        </row>
        <row r="9">
          <cell r="C9">
            <v>0</v>
          </cell>
          <cell r="D9" t="str">
            <v>-</v>
          </cell>
          <cell r="E9" t="str">
            <v>-</v>
          </cell>
          <cell r="F9">
            <v>0</v>
          </cell>
          <cell r="G9" t="str">
            <v>-</v>
          </cell>
          <cell r="H9">
            <v>0</v>
          </cell>
          <cell r="I9" t="str">
            <v>-</v>
          </cell>
          <cell r="J9" t="str">
            <v>-</v>
          </cell>
          <cell r="K9">
            <v>0</v>
          </cell>
          <cell r="L9" t="str">
            <v>-</v>
          </cell>
          <cell r="M9" t="str">
            <v>-</v>
          </cell>
          <cell r="N9">
            <v>0</v>
          </cell>
        </row>
        <row r="16">
          <cell r="C16">
            <v>0</v>
          </cell>
          <cell r="D16" t="str">
            <v>-</v>
          </cell>
          <cell r="E16" t="str">
            <v>-</v>
          </cell>
          <cell r="F16">
            <v>0</v>
          </cell>
          <cell r="G16" t="str">
            <v>-</v>
          </cell>
          <cell r="H16">
            <v>0</v>
          </cell>
          <cell r="I16" t="str">
            <v>-</v>
          </cell>
          <cell r="J16" t="str">
            <v>-</v>
          </cell>
          <cell r="K16">
            <v>0</v>
          </cell>
          <cell r="L16" t="str">
            <v>-</v>
          </cell>
          <cell r="M16" t="str">
            <v>-</v>
          </cell>
          <cell r="N16">
            <v>0</v>
          </cell>
        </row>
        <row r="18">
          <cell r="C18"/>
          <cell r="D18" t="str">
            <v>-</v>
          </cell>
          <cell r="E18" t="str">
            <v>-</v>
          </cell>
          <cell r="F18"/>
          <cell r="G18" t="str">
            <v>-</v>
          </cell>
          <cell r="H18"/>
          <cell r="I18" t="str">
            <v>-</v>
          </cell>
          <cell r="J18" t="str">
            <v>-</v>
          </cell>
          <cell r="K18"/>
          <cell r="L18" t="str">
            <v>-</v>
          </cell>
          <cell r="M18" t="str">
            <v>-</v>
          </cell>
          <cell r="N18"/>
        </row>
        <row r="26">
          <cell r="C26">
            <v>0</v>
          </cell>
          <cell r="D26" t="str">
            <v>-</v>
          </cell>
          <cell r="E26" t="str">
            <v>-</v>
          </cell>
          <cell r="F26">
            <v>0</v>
          </cell>
          <cell r="G26" t="str">
            <v>-</v>
          </cell>
          <cell r="H26">
            <v>0</v>
          </cell>
          <cell r="I26" t="str">
            <v>-</v>
          </cell>
          <cell r="J26" t="str">
            <v>-</v>
          </cell>
          <cell r="K26">
            <v>0</v>
          </cell>
          <cell r="L26" t="str">
            <v>-</v>
          </cell>
          <cell r="M26" t="str">
            <v>-</v>
          </cell>
          <cell r="N26">
            <v>0</v>
          </cell>
        </row>
        <row r="34">
          <cell r="C34">
            <v>0</v>
          </cell>
          <cell r="D34"/>
          <cell r="E34"/>
          <cell r="F34">
            <v>0</v>
          </cell>
          <cell r="G34"/>
          <cell r="H34">
            <v>0</v>
          </cell>
          <cell r="I34"/>
          <cell r="J34"/>
          <cell r="K34">
            <v>0</v>
          </cell>
          <cell r="L34"/>
          <cell r="M34"/>
          <cell r="N34">
            <v>0</v>
          </cell>
        </row>
        <row r="62">
          <cell r="C62">
            <v>0</v>
          </cell>
          <cell r="D62"/>
          <cell r="E62"/>
          <cell r="F62">
            <v>0</v>
          </cell>
          <cell r="G62"/>
          <cell r="H62">
            <v>0</v>
          </cell>
          <cell r="I62"/>
          <cell r="J62"/>
          <cell r="K62">
            <v>0</v>
          </cell>
          <cell r="L62"/>
          <cell r="M62"/>
          <cell r="N62">
            <v>0</v>
          </cell>
        </row>
        <row r="63">
          <cell r="C63">
            <v>0</v>
          </cell>
          <cell r="D63"/>
          <cell r="E63"/>
          <cell r="F63">
            <v>0</v>
          </cell>
          <cell r="G63"/>
          <cell r="H63">
            <v>0</v>
          </cell>
          <cell r="I63"/>
          <cell r="J63"/>
          <cell r="K63">
            <v>0</v>
          </cell>
          <cell r="L63"/>
          <cell r="M63"/>
          <cell r="N63">
            <v>0</v>
          </cell>
        </row>
      </sheetData>
      <sheetData sheetId="2">
        <row r="6">
          <cell r="B6" t="str">
            <v>Counterparty name</v>
          </cell>
        </row>
      </sheetData>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17"/>
  <sheetViews>
    <sheetView view="pageBreakPreview" zoomScale="130" zoomScaleNormal="115" zoomScaleSheetLayoutView="130" workbookViewId="0">
      <selection activeCell="C20" sqref="C20"/>
    </sheetView>
  </sheetViews>
  <sheetFormatPr defaultRowHeight="14.25" x14ac:dyDescent="0.2"/>
  <cols>
    <col min="1" max="7" width="12.28515625" style="1" customWidth="1"/>
    <col min="8" max="8" width="14.28515625" style="1" customWidth="1"/>
    <col min="9" max="16384" width="9.140625" style="1"/>
  </cols>
  <sheetData>
    <row r="1" spans="1:8" x14ac:dyDescent="0.2">
      <c r="A1" s="1" t="s">
        <v>35</v>
      </c>
    </row>
    <row r="2" spans="1:8" x14ac:dyDescent="0.2">
      <c r="A2" s="7" t="s">
        <v>478</v>
      </c>
    </row>
    <row r="3" spans="1:8" x14ac:dyDescent="0.2">
      <c r="A3" s="1" t="s">
        <v>26</v>
      </c>
    </row>
    <row r="4" spans="1:8" x14ac:dyDescent="0.2">
      <c r="A4" s="64" t="s">
        <v>479</v>
      </c>
      <c r="B4" s="289"/>
      <c r="C4" s="289"/>
      <c r="D4" s="289"/>
      <c r="E4" s="289"/>
      <c r="F4" s="289"/>
      <c r="G4" s="290"/>
    </row>
    <row r="5" spans="1:8" x14ac:dyDescent="0.2">
      <c r="A5" s="1" t="s">
        <v>36</v>
      </c>
    </row>
    <row r="6" spans="1:8" s="20" customFormat="1" ht="8.25" customHeight="1" x14ac:dyDescent="0.2"/>
    <row r="7" spans="1:8" s="20" customFormat="1" x14ac:dyDescent="0.2">
      <c r="A7" s="322" t="s">
        <v>368</v>
      </c>
      <c r="B7" s="323"/>
      <c r="C7" s="324" t="s">
        <v>369</v>
      </c>
      <c r="D7" s="323"/>
      <c r="E7" s="323"/>
      <c r="F7" s="323"/>
      <c r="G7" s="325"/>
    </row>
    <row r="8" spans="1:8" x14ac:dyDescent="0.2">
      <c r="A8" s="256" t="s">
        <v>482</v>
      </c>
      <c r="B8" s="257" t="s">
        <v>483</v>
      </c>
      <c r="C8" s="258" t="s">
        <v>481</v>
      </c>
      <c r="D8" s="256" t="s">
        <v>480</v>
      </c>
      <c r="E8" s="256"/>
      <c r="F8" s="256"/>
      <c r="G8" s="256"/>
    </row>
    <row r="9" spans="1:8" s="20" customFormat="1" x14ac:dyDescent="0.2">
      <c r="A9" s="22" t="s">
        <v>484</v>
      </c>
      <c r="B9" s="64" t="s">
        <v>484</v>
      </c>
      <c r="C9" s="236" t="s">
        <v>484</v>
      </c>
      <c r="D9" s="22" t="s">
        <v>484</v>
      </c>
      <c r="E9" s="22"/>
      <c r="F9" s="22"/>
      <c r="G9" s="22"/>
      <c r="H9" s="20" t="s">
        <v>391</v>
      </c>
    </row>
    <row r="10" spans="1:8" s="20" customFormat="1" x14ac:dyDescent="0.2">
      <c r="A10" s="22" t="s">
        <v>485</v>
      </c>
      <c r="B10" s="64" t="s">
        <v>485</v>
      </c>
      <c r="C10" s="64" t="s">
        <v>485</v>
      </c>
      <c r="D10" s="64" t="s">
        <v>485</v>
      </c>
      <c r="E10" s="22" t="str">
        <f t="shared" ref="E10:G10" si="0">IF(E9="N","N/A","Auditor")</f>
        <v>Auditor</v>
      </c>
      <c r="F10" s="22" t="str">
        <f t="shared" si="0"/>
        <v>Auditor</v>
      </c>
      <c r="G10" s="22" t="str">
        <f t="shared" si="0"/>
        <v>Auditor</v>
      </c>
      <c r="H10" s="20" t="s">
        <v>389</v>
      </c>
    </row>
    <row r="11" spans="1:8" s="20" customFormat="1" x14ac:dyDescent="0.2">
      <c r="A11" s="22" t="str">
        <f>IF(A9="N","N/A","Opinion")</f>
        <v>Opinion</v>
      </c>
      <c r="B11" s="64" t="str">
        <f t="shared" ref="B11:G11" si="1">IF(B9="N","N/A","Opinion")</f>
        <v>Opinion</v>
      </c>
      <c r="C11" s="22" t="s">
        <v>486</v>
      </c>
      <c r="D11" s="22" t="s">
        <v>486</v>
      </c>
      <c r="E11" s="22" t="str">
        <f t="shared" si="1"/>
        <v>Opinion</v>
      </c>
      <c r="F11" s="22" t="str">
        <f t="shared" si="1"/>
        <v>Opinion</v>
      </c>
      <c r="G11" s="22" t="str">
        <f t="shared" si="1"/>
        <v>Opinion</v>
      </c>
      <c r="H11" s="20" t="s">
        <v>390</v>
      </c>
    </row>
    <row r="12" spans="1:8" x14ac:dyDescent="0.2">
      <c r="A12" s="1" t="s">
        <v>37</v>
      </c>
    </row>
    <row r="13" spans="1:8" x14ac:dyDescent="0.2">
      <c r="A13" s="83">
        <v>41928</v>
      </c>
    </row>
    <row r="14" spans="1:8" x14ac:dyDescent="0.2">
      <c r="A14" s="1" t="s">
        <v>101</v>
      </c>
    </row>
    <row r="15" spans="1:8" x14ac:dyDescent="0.2">
      <c r="A15" s="22" t="s">
        <v>487</v>
      </c>
    </row>
    <row r="16" spans="1:8" x14ac:dyDescent="0.2">
      <c r="A16" s="1" t="str">
        <f>"Average exchange rate ("&amp;A15&amp;"/USD)"</f>
        <v>Average exchange rate (EUR/USD)</v>
      </c>
    </row>
    <row r="17" spans="1:7" x14ac:dyDescent="0.2">
      <c r="A17" s="22">
        <v>0.72943000000000002</v>
      </c>
      <c r="B17" s="22">
        <v>0.76166500000000004</v>
      </c>
      <c r="C17" s="22">
        <v>0.75324000000000002</v>
      </c>
      <c r="D17" s="22">
        <v>0.77815499999999993</v>
      </c>
      <c r="E17" s="22">
        <v>0.71886499999999998</v>
      </c>
      <c r="F17" s="22">
        <v>0.75475999999999999</v>
      </c>
      <c r="G17" s="22">
        <v>0.719055</v>
      </c>
    </row>
  </sheetData>
  <mergeCells count="2">
    <mergeCell ref="A7:B7"/>
    <mergeCell ref="C7:G7"/>
  </mergeCells>
  <pageMargins left="0.7" right="0.7" top="0.75" bottom="0.75" header="0.3" footer="0.3"/>
  <pageSetup paperSize="9" scale="87" orientation="portrait" r:id="rId1"/>
  <colBreaks count="1" manualBreakCount="1">
    <brk id="8" max="1048575" man="1"/>
  </colBreak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2:S56"/>
  <sheetViews>
    <sheetView showGridLines="0" view="pageBreakPreview" zoomScaleNormal="100" zoomScaleSheetLayoutView="100" workbookViewId="0">
      <pane ySplit="5" topLeftCell="A6" activePane="bottomLeft" state="frozen"/>
      <selection pane="bottomLeft" activeCell="E9" sqref="E9"/>
    </sheetView>
  </sheetViews>
  <sheetFormatPr defaultRowHeight="15" x14ac:dyDescent="0.25"/>
  <cols>
    <col min="2" max="2" width="15.5703125" customWidth="1"/>
    <col min="3" max="3" width="3.28515625" customWidth="1"/>
    <col min="4" max="4" width="54.28515625" customWidth="1"/>
    <col min="5" max="5" width="21.85546875" bestFit="1" customWidth="1"/>
    <col min="6" max="6" width="4" customWidth="1"/>
    <col min="7" max="7" width="14.140625" style="86" customWidth="1"/>
    <col min="8" max="8" width="14.140625" style="87" customWidth="1"/>
    <col min="9" max="9" width="14.140625" style="86" customWidth="1"/>
    <col min="11" max="11" width="18.5703125" style="84" customWidth="1"/>
    <col min="12" max="12" width="9.140625" style="85"/>
    <col min="13" max="19" width="9.140625" style="84"/>
  </cols>
  <sheetData>
    <row r="2" spans="3:19" x14ac:dyDescent="0.25">
      <c r="C2" s="343" t="s">
        <v>171</v>
      </c>
      <c r="D2" s="344"/>
      <c r="E2" s="157"/>
    </row>
    <row r="3" spans="3:19" ht="15.75" thickBot="1" x14ac:dyDescent="0.3"/>
    <row r="4" spans="3:19" s="149" customFormat="1" x14ac:dyDescent="0.25">
      <c r="C4" s="156"/>
      <c r="D4" s="155"/>
      <c r="E4" s="155"/>
      <c r="F4" s="155"/>
      <c r="G4" s="154"/>
      <c r="H4" s="153"/>
      <c r="I4" s="152"/>
      <c r="K4" s="150"/>
      <c r="L4" s="151"/>
      <c r="M4" s="150"/>
      <c r="N4" s="150"/>
      <c r="O4" s="150"/>
      <c r="P4" s="150"/>
      <c r="Q4" s="150"/>
      <c r="R4" s="150"/>
      <c r="S4" s="150"/>
    </row>
    <row r="5" spans="3:19" s="143" customFormat="1" ht="15.75" thickBot="1" x14ac:dyDescent="0.3">
      <c r="C5" s="148"/>
      <c r="D5" s="147" t="s">
        <v>170</v>
      </c>
      <c r="E5" s="147" t="s">
        <v>169</v>
      </c>
      <c r="F5" s="147"/>
      <c r="G5" s="147" t="s">
        <v>168</v>
      </c>
      <c r="H5" s="146" t="s">
        <v>167</v>
      </c>
      <c r="I5" s="145" t="s">
        <v>166</v>
      </c>
      <c r="K5" s="126"/>
      <c r="L5" s="144"/>
      <c r="M5" s="126"/>
      <c r="N5" s="126"/>
      <c r="O5" s="126"/>
      <c r="P5" s="126"/>
      <c r="Q5" s="126"/>
      <c r="R5" s="126"/>
      <c r="S5" s="126"/>
    </row>
    <row r="6" spans="3:19" s="131" customFormat="1" x14ac:dyDescent="0.25">
      <c r="C6" s="142"/>
      <c r="D6" s="141"/>
      <c r="E6" s="141"/>
      <c r="F6" s="141"/>
      <c r="G6" s="141"/>
      <c r="H6" s="140"/>
      <c r="I6" s="139"/>
      <c r="K6" s="132"/>
      <c r="L6" s="133"/>
      <c r="M6" s="132"/>
      <c r="N6" s="132"/>
      <c r="O6" s="132"/>
      <c r="P6" s="132"/>
      <c r="Q6" s="132"/>
      <c r="R6" s="132"/>
      <c r="S6" s="132"/>
    </row>
    <row r="7" spans="3:19" s="131" customFormat="1" x14ac:dyDescent="0.25">
      <c r="C7" s="138" t="str">
        <f>'[1]BS - Alt Currency'!B6</f>
        <v>Counterparty name</v>
      </c>
      <c r="D7" s="136"/>
      <c r="E7" s="244" t="str">
        <f>Cover!A4</f>
        <v>Saras Group</v>
      </c>
      <c r="F7" s="136"/>
      <c r="G7" s="136"/>
      <c r="H7" s="135"/>
      <c r="I7" s="134"/>
      <c r="K7" s="132"/>
      <c r="L7" s="133"/>
      <c r="M7" s="132"/>
      <c r="N7" s="132"/>
      <c r="O7" s="132"/>
      <c r="P7" s="132"/>
      <c r="Q7" s="132"/>
      <c r="R7" s="132"/>
      <c r="S7" s="132"/>
    </row>
    <row r="8" spans="3:19" s="131" customFormat="1" x14ac:dyDescent="0.25">
      <c r="C8" s="137"/>
      <c r="D8" s="136"/>
      <c r="E8" s="136"/>
      <c r="F8" s="136"/>
      <c r="G8" s="136"/>
      <c r="H8" s="135"/>
      <c r="I8" s="134"/>
      <c r="K8" s="132"/>
      <c r="L8" s="133"/>
      <c r="M8" s="132"/>
      <c r="N8" s="132"/>
      <c r="O8" s="132"/>
      <c r="P8" s="132"/>
      <c r="Q8" s="132"/>
      <c r="R8" s="132"/>
      <c r="S8" s="132"/>
    </row>
    <row r="9" spans="3:19" x14ac:dyDescent="0.25">
      <c r="C9" s="111" t="s">
        <v>165</v>
      </c>
      <c r="D9" s="84"/>
      <c r="E9" s="84"/>
      <c r="F9" s="84"/>
      <c r="G9" s="110"/>
      <c r="H9" s="109"/>
      <c r="I9" s="130"/>
    </row>
    <row r="10" spans="3:19" x14ac:dyDescent="0.25">
      <c r="C10" s="111"/>
      <c r="D10" s="84"/>
      <c r="E10" s="110"/>
      <c r="F10" s="84"/>
      <c r="G10" s="110"/>
      <c r="H10" s="109"/>
      <c r="I10" s="130"/>
    </row>
    <row r="11" spans="3:19" x14ac:dyDescent="0.25">
      <c r="C11" s="111"/>
      <c r="D11" s="119" t="s">
        <v>164</v>
      </c>
      <c r="E11" s="125" t="s">
        <v>154</v>
      </c>
      <c r="F11" s="84"/>
      <c r="G11" s="110" t="str">
        <f>VLOOKUP($E$11,'Reference Data_General'!B:C,2,FALSE)</f>
        <v>-</v>
      </c>
      <c r="H11" s="109" t="s">
        <v>97</v>
      </c>
      <c r="I11" s="130"/>
      <c r="J11" s="84"/>
    </row>
    <row r="12" spans="3:19" x14ac:dyDescent="0.25">
      <c r="C12" s="113"/>
      <c r="D12" s="84"/>
      <c r="E12" s="110"/>
      <c r="F12" s="84"/>
      <c r="G12" s="110"/>
      <c r="H12" s="109"/>
      <c r="I12" s="130"/>
    </row>
    <row r="13" spans="3:19" x14ac:dyDescent="0.25">
      <c r="C13" s="111" t="s">
        <v>351</v>
      </c>
      <c r="D13" s="84"/>
      <c r="E13" s="110"/>
      <c r="F13" s="84"/>
      <c r="G13" s="110"/>
      <c r="H13" s="109"/>
      <c r="I13" s="130"/>
    </row>
    <row r="14" spans="3:19" ht="15.75" thickBot="1" x14ac:dyDescent="0.3">
      <c r="C14" s="111"/>
      <c r="D14" s="84"/>
      <c r="E14" s="110"/>
      <c r="F14" s="84"/>
      <c r="G14" s="110"/>
      <c r="H14" s="109"/>
      <c r="I14" s="112"/>
    </row>
    <row r="15" spans="3:19" ht="15.75" thickBot="1" x14ac:dyDescent="0.3">
      <c r="C15" s="111"/>
      <c r="D15" s="84" t="s">
        <v>354</v>
      </c>
      <c r="E15" s="241">
        <f>'Refinery Input'!D6</f>
        <v>0</v>
      </c>
      <c r="F15" s="84"/>
      <c r="G15" s="117">
        <f>VLOOKUP(E15,'Reference Data_Refineries'!E6:F12,2,TRUE)</f>
        <v>18</v>
      </c>
      <c r="H15" s="116">
        <v>0.15</v>
      </c>
      <c r="I15" s="108">
        <f>IF(E15="Select", "-", G15*H15)</f>
        <v>2.6999999999999997</v>
      </c>
    </row>
    <row r="16" spans="3:19" ht="15.75" thickBot="1" x14ac:dyDescent="0.3">
      <c r="C16" s="113"/>
      <c r="D16" s="84"/>
      <c r="E16" s="110"/>
      <c r="F16" s="84"/>
      <c r="G16" s="128"/>
      <c r="H16" s="116"/>
      <c r="I16" s="112"/>
    </row>
    <row r="17" spans="3:9" ht="15.75" thickBot="1" x14ac:dyDescent="0.3">
      <c r="C17" s="113"/>
      <c r="D17" s="119" t="s">
        <v>355</v>
      </c>
      <c r="E17" s="241" t="e">
        <f>'Refinery Input'!I21</f>
        <v>#DIV/0!</v>
      </c>
      <c r="F17" s="84"/>
      <c r="G17" s="128" t="e">
        <f>VLOOKUP(E17,'Reference Data_Refineries'!E16:F23,2,TRUE)</f>
        <v>#DIV/0!</v>
      </c>
      <c r="H17" s="129">
        <v>0.1</v>
      </c>
      <c r="I17" s="108" t="e">
        <f>IF(E17="Select", "-", G17*H17)</f>
        <v>#DIV/0!</v>
      </c>
    </row>
    <row r="18" spans="3:9" ht="15.75" thickBot="1" x14ac:dyDescent="0.3">
      <c r="C18" s="113"/>
      <c r="D18" s="119"/>
      <c r="E18" s="110"/>
      <c r="F18" s="84"/>
      <c r="G18" s="110"/>
      <c r="H18" s="109"/>
      <c r="I18" s="112"/>
    </row>
    <row r="19" spans="3:9" ht="15.75" thickBot="1" x14ac:dyDescent="0.3">
      <c r="C19" s="113"/>
      <c r="D19" s="119" t="s">
        <v>356</v>
      </c>
      <c r="E19" s="228">
        <f>'Refinery Input'!D4</f>
        <v>0</v>
      </c>
      <c r="F19" s="84"/>
      <c r="G19" s="128">
        <f>VLOOKUP(E19,'Reference Data_Refineries'!E26:F33,2,TRUE)</f>
        <v>18</v>
      </c>
      <c r="H19" s="109">
        <v>0.1</v>
      </c>
      <c r="I19" s="108">
        <f>IF(E19="Select", "-", G19*H19)</f>
        <v>1.8</v>
      </c>
    </row>
    <row r="20" spans="3:9" x14ac:dyDescent="0.25">
      <c r="C20" s="113"/>
      <c r="D20" s="124"/>
      <c r="E20" s="110"/>
      <c r="F20" s="84"/>
      <c r="G20" s="110"/>
      <c r="H20" s="109"/>
      <c r="I20" s="108"/>
    </row>
    <row r="21" spans="3:9" x14ac:dyDescent="0.25">
      <c r="C21" s="113"/>
      <c r="D21" s="124"/>
      <c r="E21" s="110"/>
      <c r="F21" s="84"/>
      <c r="G21" s="110"/>
      <c r="H21" s="109"/>
      <c r="I21" s="108"/>
    </row>
    <row r="22" spans="3:9" x14ac:dyDescent="0.25">
      <c r="C22" s="111" t="s">
        <v>350</v>
      </c>
      <c r="D22" s="124"/>
      <c r="E22" s="110"/>
      <c r="F22" s="84"/>
      <c r="G22" s="110"/>
      <c r="H22" s="109"/>
      <c r="I22" s="108"/>
    </row>
    <row r="23" spans="3:9" ht="15.75" thickBot="1" x14ac:dyDescent="0.3">
      <c r="C23" s="113"/>
      <c r="D23" s="124"/>
      <c r="E23" s="126"/>
      <c r="F23" s="84"/>
      <c r="G23" s="110"/>
      <c r="H23" s="109"/>
      <c r="I23" s="108"/>
    </row>
    <row r="24" spans="3:9" ht="15.75" thickBot="1" x14ac:dyDescent="0.3">
      <c r="C24" s="113"/>
      <c r="D24" s="119" t="s">
        <v>406</v>
      </c>
      <c r="E24" s="228" t="e">
        <f>(AVERAGE('3. Financials (USD)'!D12-'3. Financials (USD)'!D30,'3. Financials (USD)'!E12-'3. Financials (USD)'!E30))/'Refinery Input'!D6</f>
        <v>#DIV/0!</v>
      </c>
      <c r="F24" s="84"/>
      <c r="G24" s="128" t="e">
        <f>VLOOKUP(E24,'Reference Data_Refineries'!H5:I12,2,TRUE)</f>
        <v>#DIV/0!</v>
      </c>
      <c r="H24" s="109">
        <v>0.15</v>
      </c>
      <c r="I24" s="108" t="e">
        <f>IF(E24="Select", "-", G24*H24)</f>
        <v>#DIV/0!</v>
      </c>
    </row>
    <row r="25" spans="3:9" x14ac:dyDescent="0.25">
      <c r="C25" s="113"/>
      <c r="D25" s="115" t="s">
        <v>408</v>
      </c>
      <c r="E25" s="110"/>
      <c r="F25" s="84"/>
      <c r="G25" s="110"/>
      <c r="H25" s="109"/>
      <c r="I25" s="108"/>
    </row>
    <row r="26" spans="3:9" x14ac:dyDescent="0.25">
      <c r="C26" s="113"/>
      <c r="D26" s="124"/>
      <c r="E26" s="110"/>
      <c r="F26" s="84"/>
      <c r="G26" s="110"/>
      <c r="H26" s="109"/>
      <c r="I26" s="108"/>
    </row>
    <row r="27" spans="3:9" x14ac:dyDescent="0.25">
      <c r="C27" s="111" t="s">
        <v>352</v>
      </c>
      <c r="D27" s="84"/>
      <c r="E27" s="110"/>
      <c r="F27" s="84"/>
      <c r="G27" s="110"/>
      <c r="H27" s="109"/>
      <c r="I27" s="108"/>
    </row>
    <row r="28" spans="3:9" ht="15.75" thickBot="1" x14ac:dyDescent="0.3">
      <c r="C28" s="111"/>
      <c r="D28" s="84"/>
      <c r="E28" s="110"/>
      <c r="F28" s="84"/>
      <c r="G28" s="120"/>
      <c r="H28" s="109"/>
      <c r="I28" s="108"/>
    </row>
    <row r="29" spans="3:9" ht="15.75" thickBot="1" x14ac:dyDescent="0.3">
      <c r="C29" s="113"/>
      <c r="D29" s="119" t="s">
        <v>407</v>
      </c>
      <c r="E29" s="228" t="e">
        <f>'3. Financials (USD)'!D38/'Refinery Input'!D8</f>
        <v>#DIV/0!</v>
      </c>
      <c r="F29" s="84"/>
      <c r="G29" s="117" t="e">
        <f>VLOOKUP(E29,'Reference Data_Refineries'!K5:L11,2,TRUE)</f>
        <v>#DIV/0!</v>
      </c>
      <c r="H29" s="109">
        <v>0.1</v>
      </c>
      <c r="I29" s="108" t="e">
        <f>H29*G29</f>
        <v>#DIV/0!</v>
      </c>
    </row>
    <row r="30" spans="3:9" x14ac:dyDescent="0.25">
      <c r="C30" s="113"/>
      <c r="D30" s="115" t="s">
        <v>404</v>
      </c>
      <c r="E30" s="110"/>
      <c r="F30" s="84"/>
      <c r="G30" s="114"/>
      <c r="H30" s="109"/>
      <c r="I30" s="108"/>
    </row>
    <row r="31" spans="3:9" ht="15.75" thickBot="1" x14ac:dyDescent="0.3">
      <c r="C31" s="113"/>
      <c r="D31" s="119"/>
      <c r="E31" s="110"/>
      <c r="F31" s="84"/>
      <c r="G31" s="120"/>
      <c r="H31" s="109"/>
      <c r="I31" s="108"/>
    </row>
    <row r="32" spans="3:9" ht="15.75" thickBot="1" x14ac:dyDescent="0.3">
      <c r="C32" s="113"/>
      <c r="D32" s="119" t="s">
        <v>357</v>
      </c>
      <c r="E32" s="228">
        <f>(AVERAGE('3. Financials (USD)'!D12-'3. Financials (USD)'!D30,'3. Financials (USD)'!E12-'3. Financials (USD)'!E30))/('3. Financials (USD)'!D13)*-1</f>
        <v>-5.5808872296010561</v>
      </c>
      <c r="F32" s="84"/>
      <c r="G32" s="114" t="e">
        <f>VLOOKUP(E32,'Reference Data_Refineries'!K14:L20,2,TRUE)</f>
        <v>#N/A</v>
      </c>
      <c r="H32" s="109">
        <v>0.15</v>
      </c>
      <c r="I32" s="108" t="e">
        <f>H32*G32</f>
        <v>#N/A</v>
      </c>
    </row>
    <row r="33" spans="3:12" x14ac:dyDescent="0.25">
      <c r="C33" s="113"/>
      <c r="D33" s="115" t="s">
        <v>403</v>
      </c>
      <c r="E33" s="110"/>
      <c r="F33" s="84"/>
      <c r="G33" s="114"/>
      <c r="H33" s="109"/>
      <c r="I33" s="108"/>
    </row>
    <row r="34" spans="3:12" ht="15.75" thickBot="1" x14ac:dyDescent="0.3">
      <c r="C34" s="113"/>
      <c r="D34" s="84"/>
      <c r="E34" s="110"/>
      <c r="F34" s="84"/>
      <c r="G34" s="114"/>
      <c r="H34" s="109"/>
      <c r="I34" s="108"/>
    </row>
    <row r="35" spans="3:12" ht="15.75" thickBot="1" x14ac:dyDescent="0.3">
      <c r="C35" s="113"/>
      <c r="D35" s="119" t="s">
        <v>358</v>
      </c>
      <c r="E35" s="228">
        <f>(AVERAGE('3. Financials (USD)'!D23,'3. Financials (USD)'!E23))/'3. Financials (USD)'!D38</f>
        <v>-2.1794810242975804E-2</v>
      </c>
      <c r="F35" s="84"/>
      <c r="G35" s="114">
        <f>VLOOKUP(E35,'Reference Data_Refineries'!K23:L29,2,TRUE)</f>
        <v>18</v>
      </c>
      <c r="H35" s="109">
        <v>0.1</v>
      </c>
      <c r="I35" s="108">
        <f>H35*G35</f>
        <v>1.8</v>
      </c>
    </row>
    <row r="36" spans="3:12" x14ac:dyDescent="0.25">
      <c r="C36" s="113"/>
      <c r="D36" s="115" t="s">
        <v>405</v>
      </c>
      <c r="E36" s="110"/>
      <c r="F36" s="84"/>
      <c r="G36" s="114"/>
      <c r="H36" s="109"/>
      <c r="I36" s="108"/>
    </row>
    <row r="37" spans="3:12" x14ac:dyDescent="0.25">
      <c r="C37" s="113"/>
      <c r="D37" s="84"/>
      <c r="E37" s="110"/>
      <c r="F37" s="84"/>
      <c r="G37" s="114"/>
      <c r="H37" s="109"/>
      <c r="I37" s="108"/>
    </row>
    <row r="38" spans="3:12" x14ac:dyDescent="0.25">
      <c r="C38" s="111" t="s">
        <v>353</v>
      </c>
      <c r="D38" s="84"/>
      <c r="E38" s="110"/>
      <c r="F38" s="84"/>
      <c r="G38" s="120"/>
      <c r="H38" s="109"/>
      <c r="I38" s="108"/>
    </row>
    <row r="39" spans="3:12" ht="15.75" thickBot="1" x14ac:dyDescent="0.3">
      <c r="C39" s="113"/>
      <c r="D39" s="84"/>
      <c r="E39" s="110"/>
      <c r="F39" s="84"/>
      <c r="G39" s="120"/>
      <c r="H39" s="109"/>
      <c r="I39" s="108"/>
    </row>
    <row r="40" spans="3:12" ht="75.75" thickBot="1" x14ac:dyDescent="0.3">
      <c r="C40" s="113"/>
      <c r="D40" s="119" t="s">
        <v>360</v>
      </c>
      <c r="E40" s="278" t="s">
        <v>361</v>
      </c>
      <c r="F40" s="84"/>
      <c r="G40" s="114">
        <f>VLOOKUP(E40,'Reference Data_Refineries'!N5:O11,2,FALSE)</f>
        <v>1</v>
      </c>
      <c r="H40" s="116">
        <v>0.15</v>
      </c>
      <c r="I40" s="108">
        <f>H40*G40</f>
        <v>0.15</v>
      </c>
    </row>
    <row r="41" spans="3:12" x14ac:dyDescent="0.25">
      <c r="C41" s="113"/>
      <c r="D41" s="115"/>
      <c r="E41" s="110"/>
      <c r="F41" s="84"/>
      <c r="G41" s="114"/>
      <c r="H41" s="109"/>
      <c r="I41" s="108"/>
    </row>
    <row r="42" spans="3:12" s="84" customFormat="1" x14ac:dyDescent="0.25">
      <c r="C42" s="113"/>
      <c r="G42" s="110"/>
      <c r="H42" s="109"/>
      <c r="I42" s="112"/>
      <c r="J42"/>
      <c r="L42" s="85"/>
    </row>
    <row r="43" spans="3:12" s="84" customFormat="1" ht="15.75" thickBot="1" x14ac:dyDescent="0.3">
      <c r="C43" s="111" t="s">
        <v>136</v>
      </c>
      <c r="G43" s="110"/>
      <c r="H43" s="109">
        <f>SUM(H15:H41)</f>
        <v>1</v>
      </c>
      <c r="I43" s="108" t="e">
        <f>SUM(I15:I41)</f>
        <v>#DIV/0!</v>
      </c>
      <c r="J43"/>
      <c r="L43" s="85"/>
    </row>
    <row r="44" spans="3:12" s="84" customFormat="1" x14ac:dyDescent="0.25">
      <c r="C44" s="107"/>
      <c r="D44" s="106"/>
      <c r="E44" s="106"/>
      <c r="F44" s="106"/>
      <c r="G44" s="105"/>
      <c r="H44" s="104"/>
      <c r="I44" s="103"/>
      <c r="J44"/>
      <c r="L44" s="85"/>
    </row>
    <row r="45" spans="3:12" s="84" customFormat="1" x14ac:dyDescent="0.25">
      <c r="C45" s="97" t="s">
        <v>135</v>
      </c>
      <c r="D45" s="96"/>
      <c r="E45" s="96"/>
      <c r="F45" s="96"/>
      <c r="G45" s="95"/>
      <c r="H45" s="94"/>
      <c r="I45" s="93" t="e">
        <f>VLOOKUP(I43,'Reference Data_General'!T:V,2)</f>
        <v>#DIV/0!</v>
      </c>
      <c r="J45"/>
      <c r="L45" s="85"/>
    </row>
    <row r="46" spans="3:12" s="84" customFormat="1" x14ac:dyDescent="0.25">
      <c r="C46" s="99"/>
      <c r="D46" s="96"/>
      <c r="E46" s="96"/>
      <c r="F46" s="96"/>
      <c r="G46" s="95"/>
      <c r="H46" s="94"/>
      <c r="I46" s="93"/>
      <c r="J46"/>
      <c r="L46" s="85"/>
    </row>
    <row r="47" spans="3:12" s="84" customFormat="1" x14ac:dyDescent="0.25">
      <c r="C47" s="97" t="s">
        <v>134</v>
      </c>
      <c r="D47" s="96"/>
      <c r="E47" s="102" t="s">
        <v>133</v>
      </c>
      <c r="F47" s="96"/>
      <c r="G47" s="95"/>
      <c r="H47" s="94"/>
      <c r="I47" s="93" t="str">
        <f>E47</f>
        <v>-</v>
      </c>
      <c r="J47"/>
      <c r="L47" s="85"/>
    </row>
    <row r="48" spans="3:12" s="84" customFormat="1" x14ac:dyDescent="0.25">
      <c r="C48" s="97"/>
      <c r="D48" s="96"/>
      <c r="E48" s="96"/>
      <c r="F48" s="96"/>
      <c r="G48" s="95"/>
      <c r="H48" s="94"/>
      <c r="I48" s="93"/>
      <c r="J48"/>
      <c r="L48" s="85"/>
    </row>
    <row r="49" spans="3:12" s="84" customFormat="1" ht="15" customHeight="1" x14ac:dyDescent="0.25">
      <c r="C49" s="101"/>
      <c r="D49" s="100"/>
      <c r="E49" s="337" t="s">
        <v>132</v>
      </c>
      <c r="F49" s="338"/>
      <c r="G49" s="338"/>
      <c r="H49" s="339"/>
      <c r="I49" s="93"/>
      <c r="J49"/>
      <c r="L49" s="85"/>
    </row>
    <row r="50" spans="3:12" s="84" customFormat="1" x14ac:dyDescent="0.25">
      <c r="C50" s="99"/>
      <c r="D50" s="96"/>
      <c r="E50" s="340"/>
      <c r="F50" s="341"/>
      <c r="G50" s="341"/>
      <c r="H50" s="342"/>
      <c r="I50" s="93"/>
      <c r="J50"/>
      <c r="L50" s="85"/>
    </row>
    <row r="51" spans="3:12" s="84" customFormat="1" x14ac:dyDescent="0.25">
      <c r="C51" s="99"/>
      <c r="D51" s="96"/>
      <c r="E51" s="98"/>
      <c r="F51" s="98"/>
      <c r="G51" s="98"/>
      <c r="H51" s="98"/>
      <c r="I51" s="93"/>
      <c r="J51"/>
      <c r="L51" s="85"/>
    </row>
    <row r="52" spans="3:12" x14ac:dyDescent="0.25">
      <c r="C52" s="97" t="s">
        <v>131</v>
      </c>
      <c r="D52" s="96"/>
      <c r="E52" s="96"/>
      <c r="F52" s="96"/>
      <c r="G52" s="95"/>
      <c r="H52" s="94"/>
      <c r="I52" s="93" t="e">
        <f>IF(I47="-",I45,VLOOKUP(I45,'Reference Data_Refineries'!X5:AB23,'Reference Data_Refineries'!Y31,FALSE))</f>
        <v>#DIV/0!</v>
      </c>
    </row>
    <row r="53" spans="3:12" x14ac:dyDescent="0.25">
      <c r="C53" s="97"/>
      <c r="D53" s="96"/>
      <c r="E53" s="96"/>
      <c r="F53" s="96"/>
      <c r="G53" s="95"/>
      <c r="H53" s="94"/>
      <c r="I53" s="93"/>
    </row>
    <row r="54" spans="3:12" x14ac:dyDescent="0.25">
      <c r="C54" s="97" t="s">
        <v>130</v>
      </c>
      <c r="D54" s="96"/>
      <c r="E54" s="96"/>
      <c r="F54" s="96"/>
      <c r="G54" s="95"/>
      <c r="H54" s="94"/>
      <c r="I54" s="93" t="str">
        <f>'Reference Data_General'!AF8</f>
        <v>No</v>
      </c>
    </row>
    <row r="55" spans="3:12" ht="15.75" thickBot="1" x14ac:dyDescent="0.3">
      <c r="C55" s="92"/>
      <c r="D55" s="91"/>
      <c r="E55" s="91"/>
      <c r="F55" s="91"/>
      <c r="G55" s="90"/>
      <c r="H55" s="89"/>
      <c r="I55" s="88"/>
    </row>
    <row r="56" spans="3:12" ht="15.75" thickBot="1" x14ac:dyDescent="0.3">
      <c r="C56" s="92" t="s">
        <v>129</v>
      </c>
      <c r="D56" s="91"/>
      <c r="E56" s="91"/>
      <c r="F56" s="91"/>
      <c r="G56" s="90"/>
      <c r="H56" s="89"/>
      <c r="I56" s="88" t="e">
        <f>IF(I54="No",I52,G11)</f>
        <v>#DIV/0!</v>
      </c>
    </row>
  </sheetData>
  <mergeCells count="2">
    <mergeCell ref="C2:D2"/>
    <mergeCell ref="E49:H50"/>
  </mergeCells>
  <pageMargins left="0.7" right="0.7" top="0.75" bottom="0.75" header="0.3" footer="0.3"/>
  <pageSetup scale="46"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'Reference Data_General'!$B$6:$B$112</xm:f>
          </x14:formula1>
          <xm:sqref>E11</xm:sqref>
        </x14:dataValidation>
        <x14:dataValidation type="list" allowBlank="1" showInputMessage="1" showErrorMessage="1">
          <x14:formula1>
            <xm:f>'Reference Data_General'!$AA$26:$AA$30</xm:f>
          </x14:formula1>
          <xm:sqref>E47</xm:sqref>
        </x14:dataValidation>
        <x14:dataValidation type="list" allowBlank="1" showInputMessage="1" showErrorMessage="1">
          <x14:formula1>
            <xm:f>'Reference Data_Refineries'!$N$5:$N$11</xm:f>
          </x14:formula1>
          <xm:sqref>E40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F112"/>
  <sheetViews>
    <sheetView showGridLines="0" topLeftCell="I1" workbookViewId="0">
      <selection activeCell="N23" sqref="N23"/>
    </sheetView>
  </sheetViews>
  <sheetFormatPr defaultRowHeight="15" x14ac:dyDescent="0.25"/>
  <cols>
    <col min="2" max="2" width="20" bestFit="1" customWidth="1"/>
    <col min="3" max="3" width="8.85546875" bestFit="1" customWidth="1"/>
    <col min="5" max="5" width="21.85546875" bestFit="1" customWidth="1"/>
    <col min="6" max="6" width="9.5703125" customWidth="1"/>
    <col min="8" max="8" width="22.85546875" bestFit="1" customWidth="1"/>
    <col min="9" max="9" width="9.42578125" customWidth="1"/>
    <col min="11" max="11" width="17.42578125" customWidth="1"/>
    <col min="12" max="12" width="11.7109375" customWidth="1"/>
    <col min="14" max="14" width="17.7109375" customWidth="1"/>
    <col min="15" max="15" width="13.42578125" customWidth="1"/>
    <col min="17" max="17" width="21.7109375" customWidth="1"/>
    <col min="18" max="18" width="20" customWidth="1"/>
    <col min="19" max="19" width="9.7109375" customWidth="1"/>
  </cols>
  <sheetData>
    <row r="2" spans="2:32" x14ac:dyDescent="0.25">
      <c r="B2" s="360" t="s">
        <v>165</v>
      </c>
      <c r="C2" s="360"/>
      <c r="E2" s="360" t="s">
        <v>346</v>
      </c>
      <c r="F2" s="360"/>
      <c r="H2" s="360" t="s">
        <v>345</v>
      </c>
      <c r="I2" s="360"/>
      <c r="K2" s="360" t="s">
        <v>344</v>
      </c>
      <c r="L2" s="360"/>
      <c r="N2" s="360" t="s">
        <v>343</v>
      </c>
      <c r="O2" s="360"/>
      <c r="Q2" s="360" t="s">
        <v>342</v>
      </c>
      <c r="R2" s="360"/>
      <c r="T2" s="360" t="s">
        <v>341</v>
      </c>
      <c r="U2" s="360"/>
      <c r="V2" s="360"/>
      <c r="X2" s="360" t="s">
        <v>340</v>
      </c>
      <c r="Y2" s="360"/>
      <c r="Z2" s="360"/>
      <c r="AA2" s="360"/>
      <c r="AB2" s="360"/>
      <c r="AD2" s="360" t="s">
        <v>339</v>
      </c>
      <c r="AE2" s="360"/>
      <c r="AF2" s="360"/>
    </row>
    <row r="3" spans="2:32" ht="15.75" thickBot="1" x14ac:dyDescent="0.3">
      <c r="U3" s="360"/>
      <c r="V3" s="360"/>
    </row>
    <row r="4" spans="2:32" ht="15.75" thickBot="1" x14ac:dyDescent="0.3">
      <c r="B4" s="357" t="s">
        <v>338</v>
      </c>
      <c r="C4" s="359"/>
      <c r="E4" s="357" t="s">
        <v>337</v>
      </c>
      <c r="F4" s="359"/>
      <c r="H4" s="357" t="s">
        <v>336</v>
      </c>
      <c r="I4" s="359"/>
      <c r="K4" s="357" t="s">
        <v>335</v>
      </c>
      <c r="L4" s="359"/>
      <c r="M4" s="190"/>
      <c r="N4" s="357" t="s">
        <v>147</v>
      </c>
      <c r="O4" s="359"/>
      <c r="Q4" s="357" t="s">
        <v>140</v>
      </c>
      <c r="R4" s="359"/>
      <c r="S4" s="190"/>
      <c r="T4" s="223" t="s">
        <v>333</v>
      </c>
      <c r="U4" s="222" t="s">
        <v>334</v>
      </c>
      <c r="V4" s="221" t="s">
        <v>333</v>
      </c>
      <c r="X4" s="220"/>
      <c r="Y4" s="219">
        <v>-2</v>
      </c>
      <c r="Z4" s="219">
        <v>-1</v>
      </c>
      <c r="AA4" s="219">
        <v>1</v>
      </c>
      <c r="AB4" s="218">
        <v>2</v>
      </c>
      <c r="AD4" s="357" t="s">
        <v>332</v>
      </c>
      <c r="AE4" s="358"/>
      <c r="AF4" s="359"/>
    </row>
    <row r="5" spans="2:32" x14ac:dyDescent="0.25">
      <c r="B5" s="184" t="s">
        <v>331</v>
      </c>
      <c r="C5" s="180" t="s">
        <v>330</v>
      </c>
      <c r="E5" s="217" t="s">
        <v>154</v>
      </c>
      <c r="F5" s="180" t="s">
        <v>133</v>
      </c>
      <c r="H5" s="184" t="s">
        <v>154</v>
      </c>
      <c r="I5" s="180" t="s">
        <v>133</v>
      </c>
      <c r="K5" s="216">
        <v>0</v>
      </c>
      <c r="L5" s="191">
        <v>1</v>
      </c>
      <c r="N5" s="192">
        <v>0</v>
      </c>
      <c r="O5" s="191">
        <v>20</v>
      </c>
      <c r="Q5" s="204">
        <v>0</v>
      </c>
      <c r="R5" s="191">
        <v>20</v>
      </c>
      <c r="T5" s="215">
        <v>1.5</v>
      </c>
      <c r="U5" s="213" t="s">
        <v>179</v>
      </c>
      <c r="V5" s="214">
        <v>1.5</v>
      </c>
      <c r="X5" s="184" t="s">
        <v>179</v>
      </c>
      <c r="Y5" s="213" t="s">
        <v>182</v>
      </c>
      <c r="Z5" s="213" t="s">
        <v>253</v>
      </c>
      <c r="AA5" s="213" t="s">
        <v>133</v>
      </c>
      <c r="AB5" s="180" t="s">
        <v>133</v>
      </c>
      <c r="AD5" s="184" t="s">
        <v>329</v>
      </c>
      <c r="AE5" s="213"/>
      <c r="AF5" s="180">
        <f>IF('R.Output_General Industries'!G11="-",0,VLOOKUP('R.Output_General Industries'!G11,'Reference Data_General'!U5:V24,2,FALSE))</f>
        <v>8.5</v>
      </c>
    </row>
    <row r="6" spans="2:32" ht="15.75" thickBot="1" x14ac:dyDescent="0.3">
      <c r="B6" s="113" t="s">
        <v>154</v>
      </c>
      <c r="C6" s="160" t="s">
        <v>133</v>
      </c>
      <c r="E6" s="210" t="s">
        <v>328</v>
      </c>
      <c r="F6" s="175">
        <v>20</v>
      </c>
      <c r="H6" s="113" t="s">
        <v>287</v>
      </c>
      <c r="I6" s="177">
        <v>1</v>
      </c>
      <c r="K6" s="209">
        <v>0.2</v>
      </c>
      <c r="L6" s="175">
        <v>4.1666666666666661</v>
      </c>
      <c r="N6" s="176">
        <v>0.03</v>
      </c>
      <c r="O6" s="175">
        <v>16.2</v>
      </c>
      <c r="Q6" s="197">
        <v>2.5000000000000001E-2</v>
      </c>
      <c r="R6" s="175">
        <v>16.2</v>
      </c>
      <c r="T6" s="189">
        <v>2.5</v>
      </c>
      <c r="U6" s="84" t="s">
        <v>253</v>
      </c>
      <c r="V6" s="188">
        <v>2.5</v>
      </c>
      <c r="X6" s="113" t="s">
        <v>253</v>
      </c>
      <c r="Y6" s="84" t="s">
        <v>199</v>
      </c>
      <c r="Z6" s="84" t="s">
        <v>182</v>
      </c>
      <c r="AA6" s="84" t="s">
        <v>179</v>
      </c>
      <c r="AB6" s="160" t="s">
        <v>133</v>
      </c>
      <c r="AD6" s="159" t="s">
        <v>327</v>
      </c>
      <c r="AE6" s="185"/>
      <c r="AF6" s="158">
        <f>IF('R.Output_General Industries'!I65="-",0,VLOOKUP('R.Output_General Industries'!I65,'Reference Data_General'!U6:V25,2,FALSE))</f>
        <v>12.5</v>
      </c>
    </row>
    <row r="7" spans="2:32" ht="15.75" thickBot="1" x14ac:dyDescent="0.3">
      <c r="B7" s="113" t="s">
        <v>326</v>
      </c>
      <c r="C7" s="160" t="s">
        <v>194</v>
      </c>
      <c r="E7" s="212" t="s">
        <v>325</v>
      </c>
      <c r="F7" s="175">
        <v>16.2</v>
      </c>
      <c r="H7" s="113" t="s">
        <v>308</v>
      </c>
      <c r="I7" s="177">
        <v>5.75</v>
      </c>
      <c r="K7" s="209">
        <v>0.3</v>
      </c>
      <c r="L7" s="175">
        <v>7.3333333333333321</v>
      </c>
      <c r="N7" s="176">
        <v>0.06</v>
      </c>
      <c r="O7" s="175">
        <v>12.399999999999999</v>
      </c>
      <c r="Q7" s="197">
        <v>7.4999999999999997E-2</v>
      </c>
      <c r="R7" s="175">
        <v>12.399999999999999</v>
      </c>
      <c r="T7" s="189">
        <v>3.5</v>
      </c>
      <c r="U7" s="84" t="s">
        <v>182</v>
      </c>
      <c r="V7" s="188">
        <v>3.5</v>
      </c>
      <c r="X7" s="113" t="s">
        <v>182</v>
      </c>
      <c r="Y7" s="84" t="s">
        <v>190</v>
      </c>
      <c r="Z7" s="84" t="s">
        <v>199</v>
      </c>
      <c r="AA7" s="84" t="s">
        <v>253</v>
      </c>
      <c r="AB7" s="160" t="s">
        <v>179</v>
      </c>
    </row>
    <row r="8" spans="2:32" ht="15.75" thickBot="1" x14ac:dyDescent="0.3">
      <c r="B8" s="113" t="s">
        <v>324</v>
      </c>
      <c r="C8" s="160" t="s">
        <v>291</v>
      </c>
      <c r="E8" s="210" t="s">
        <v>323</v>
      </c>
      <c r="F8" s="175">
        <v>12.399999999999999</v>
      </c>
      <c r="H8" s="113" t="s">
        <v>280</v>
      </c>
      <c r="I8" s="177">
        <v>10.5</v>
      </c>
      <c r="K8" s="209">
        <v>0.4</v>
      </c>
      <c r="L8" s="175">
        <v>10.499999999999998</v>
      </c>
      <c r="N8" s="176">
        <v>0.1</v>
      </c>
      <c r="O8" s="175">
        <v>8.5999999999999979</v>
      </c>
      <c r="Q8" s="197">
        <v>0.15</v>
      </c>
      <c r="R8" s="175">
        <v>8.5999999999999979</v>
      </c>
      <c r="T8" s="189">
        <v>4.5</v>
      </c>
      <c r="U8" s="84" t="s">
        <v>199</v>
      </c>
      <c r="V8" s="188">
        <v>4.5</v>
      </c>
      <c r="X8" s="113" t="s">
        <v>199</v>
      </c>
      <c r="Y8" s="84" t="s">
        <v>229</v>
      </c>
      <c r="Z8" s="84" t="s">
        <v>190</v>
      </c>
      <c r="AA8" s="84" t="s">
        <v>182</v>
      </c>
      <c r="AB8" s="160" t="s">
        <v>253</v>
      </c>
      <c r="AF8" s="211" t="str">
        <f>IF(AF5&gt;AF6,"Yes","No")</f>
        <v>No</v>
      </c>
    </row>
    <row r="9" spans="2:32" x14ac:dyDescent="0.25">
      <c r="B9" s="113" t="s">
        <v>322</v>
      </c>
      <c r="C9" s="160" t="s">
        <v>194</v>
      </c>
      <c r="E9" s="210" t="s">
        <v>321</v>
      </c>
      <c r="F9" s="175">
        <v>8.5999999999999979</v>
      </c>
      <c r="H9" s="113" t="s">
        <v>320</v>
      </c>
      <c r="I9" s="177">
        <v>15.25</v>
      </c>
      <c r="K9" s="209">
        <v>0.5</v>
      </c>
      <c r="L9" s="175">
        <v>13.666666666666664</v>
      </c>
      <c r="N9" s="176">
        <v>0.17499999999999999</v>
      </c>
      <c r="O9" s="175">
        <v>4.799999999999998</v>
      </c>
      <c r="Q9" s="197">
        <v>0.22500000000000001</v>
      </c>
      <c r="R9" s="175">
        <v>4.799999999999998</v>
      </c>
      <c r="T9" s="189">
        <v>5.5</v>
      </c>
      <c r="U9" s="84" t="s">
        <v>190</v>
      </c>
      <c r="V9" s="188">
        <v>5.5</v>
      </c>
      <c r="X9" s="113" t="s">
        <v>190</v>
      </c>
      <c r="Y9" s="84" t="s">
        <v>214</v>
      </c>
      <c r="Z9" s="84" t="s">
        <v>229</v>
      </c>
      <c r="AA9" s="84" t="s">
        <v>199</v>
      </c>
      <c r="AB9" s="160" t="s">
        <v>182</v>
      </c>
    </row>
    <row r="10" spans="2:32" ht="15.75" thickBot="1" x14ac:dyDescent="0.3">
      <c r="B10" s="113" t="s">
        <v>319</v>
      </c>
      <c r="C10" s="160" t="s">
        <v>197</v>
      </c>
      <c r="E10" s="210" t="s">
        <v>318</v>
      </c>
      <c r="F10" s="175">
        <v>4.799999999999998</v>
      </c>
      <c r="H10" s="159" t="s">
        <v>317</v>
      </c>
      <c r="I10" s="172">
        <v>20</v>
      </c>
      <c r="K10" s="209">
        <v>0.75</v>
      </c>
      <c r="L10" s="175">
        <v>16.833333333333332</v>
      </c>
      <c r="N10" s="171">
        <v>0.25</v>
      </c>
      <c r="O10" s="170">
        <v>0.99999999999999822</v>
      </c>
      <c r="Q10" s="195">
        <v>0.3</v>
      </c>
      <c r="R10" s="170">
        <v>0.99999999999999822</v>
      </c>
      <c r="T10" s="189">
        <v>6.5</v>
      </c>
      <c r="U10" s="84" t="s">
        <v>229</v>
      </c>
      <c r="V10" s="188">
        <v>6.5</v>
      </c>
      <c r="X10" s="113" t="s">
        <v>229</v>
      </c>
      <c r="Y10" s="84" t="s">
        <v>188</v>
      </c>
      <c r="Z10" s="84" t="s">
        <v>214</v>
      </c>
      <c r="AA10" s="84" t="s">
        <v>190</v>
      </c>
      <c r="AB10" s="160" t="s">
        <v>199</v>
      </c>
    </row>
    <row r="11" spans="2:32" ht="15.75" thickBot="1" x14ac:dyDescent="0.3">
      <c r="B11" s="113" t="s">
        <v>316</v>
      </c>
      <c r="C11" s="160" t="s">
        <v>179</v>
      </c>
      <c r="E11" s="208" t="s">
        <v>315</v>
      </c>
      <c r="F11" s="170">
        <v>0.99999999999999822</v>
      </c>
      <c r="K11" s="207">
        <v>0.85</v>
      </c>
      <c r="L11" s="170">
        <v>20</v>
      </c>
      <c r="N11" s="190"/>
      <c r="T11" s="189">
        <v>7.5</v>
      </c>
      <c r="U11" s="84" t="s">
        <v>214</v>
      </c>
      <c r="V11" s="188">
        <v>7.5</v>
      </c>
      <c r="X11" s="113" t="s">
        <v>214</v>
      </c>
      <c r="Y11" s="84" t="s">
        <v>197</v>
      </c>
      <c r="Z11" s="84" t="s">
        <v>188</v>
      </c>
      <c r="AA11" s="84" t="s">
        <v>229</v>
      </c>
      <c r="AB11" s="160" t="s">
        <v>190</v>
      </c>
    </row>
    <row r="12" spans="2:32" ht="15.75" thickBot="1" x14ac:dyDescent="0.3">
      <c r="B12" s="113" t="s">
        <v>314</v>
      </c>
      <c r="C12" s="160" t="s">
        <v>179</v>
      </c>
      <c r="H12" s="357" t="s">
        <v>155</v>
      </c>
      <c r="I12" s="359"/>
      <c r="N12" s="357" t="s">
        <v>145</v>
      </c>
      <c r="O12" s="359"/>
      <c r="Q12" s="357" t="s">
        <v>313</v>
      </c>
      <c r="R12" s="359"/>
      <c r="T12" s="189">
        <v>8.5</v>
      </c>
      <c r="U12" s="84" t="s">
        <v>188</v>
      </c>
      <c r="V12" s="188">
        <v>8.5</v>
      </c>
      <c r="X12" s="113" t="s">
        <v>188</v>
      </c>
      <c r="Y12" s="84" t="s">
        <v>177</v>
      </c>
      <c r="Z12" s="84" t="s">
        <v>197</v>
      </c>
      <c r="AA12" s="84" t="s">
        <v>214</v>
      </c>
      <c r="AB12" s="160" t="s">
        <v>229</v>
      </c>
    </row>
    <row r="13" spans="2:32" ht="15.75" thickBot="1" x14ac:dyDescent="0.3">
      <c r="B13" s="113" t="s">
        <v>312</v>
      </c>
      <c r="C13" s="160" t="s">
        <v>177</v>
      </c>
      <c r="E13" s="357" t="s">
        <v>161</v>
      </c>
      <c r="F13" s="359"/>
      <c r="H13" s="206" t="s">
        <v>154</v>
      </c>
      <c r="I13" s="205" t="s">
        <v>133</v>
      </c>
      <c r="K13" s="357" t="s">
        <v>150</v>
      </c>
      <c r="L13" s="359"/>
      <c r="M13" s="190"/>
      <c r="N13" s="198">
        <v>0</v>
      </c>
      <c r="O13" s="175">
        <v>20</v>
      </c>
      <c r="P13" s="190"/>
      <c r="Q13" s="204">
        <v>0</v>
      </c>
      <c r="R13" s="191">
        <v>20</v>
      </c>
      <c r="T13" s="189">
        <v>9.5</v>
      </c>
      <c r="U13" s="84" t="s">
        <v>197</v>
      </c>
      <c r="V13" s="188">
        <v>9.5</v>
      </c>
      <c r="X13" s="113" t="s">
        <v>197</v>
      </c>
      <c r="Y13" s="84" t="s">
        <v>212</v>
      </c>
      <c r="Z13" s="84" t="s">
        <v>177</v>
      </c>
      <c r="AA13" s="84" t="s">
        <v>188</v>
      </c>
      <c r="AB13" s="160" t="s">
        <v>214</v>
      </c>
    </row>
    <row r="14" spans="2:32" x14ac:dyDescent="0.25">
      <c r="B14" s="113" t="s">
        <v>311</v>
      </c>
      <c r="C14" s="160" t="s">
        <v>197</v>
      </c>
      <c r="E14" s="184" t="s">
        <v>154</v>
      </c>
      <c r="F14" s="180" t="s">
        <v>133</v>
      </c>
      <c r="H14" s="202" t="s">
        <v>287</v>
      </c>
      <c r="I14" s="201">
        <v>1</v>
      </c>
      <c r="K14" s="203">
        <v>0</v>
      </c>
      <c r="L14" s="191">
        <v>1</v>
      </c>
      <c r="N14" s="198">
        <v>1.5</v>
      </c>
      <c r="O14" s="175">
        <v>16.833333333333332</v>
      </c>
      <c r="Q14" s="197">
        <v>2.5000000000000001E-2</v>
      </c>
      <c r="R14" s="175">
        <v>16.833333333333332</v>
      </c>
      <c r="T14" s="189">
        <v>10.5</v>
      </c>
      <c r="U14" s="84" t="s">
        <v>177</v>
      </c>
      <c r="V14" s="188">
        <v>10.5</v>
      </c>
      <c r="X14" s="113" t="s">
        <v>177</v>
      </c>
      <c r="Y14" s="84" t="s">
        <v>240</v>
      </c>
      <c r="Z14" s="84" t="s">
        <v>212</v>
      </c>
      <c r="AA14" s="84" t="s">
        <v>197</v>
      </c>
      <c r="AB14" s="160" t="s">
        <v>188</v>
      </c>
    </row>
    <row r="15" spans="2:32" x14ac:dyDescent="0.25">
      <c r="B15" s="113" t="s">
        <v>310</v>
      </c>
      <c r="C15" s="160" t="s">
        <v>182</v>
      </c>
      <c r="E15" s="113" t="s">
        <v>309</v>
      </c>
      <c r="F15" s="175">
        <v>1</v>
      </c>
      <c r="H15" s="202" t="s">
        <v>308</v>
      </c>
      <c r="I15" s="201">
        <v>5.75</v>
      </c>
      <c r="K15" s="194">
        <v>0.5</v>
      </c>
      <c r="L15" s="175">
        <v>3.7142857142857144</v>
      </c>
      <c r="N15" s="198">
        <v>2.5</v>
      </c>
      <c r="O15" s="175">
        <v>13.666666666666666</v>
      </c>
      <c r="Q15" s="197">
        <v>0.05</v>
      </c>
      <c r="R15" s="175">
        <v>13.666666666666666</v>
      </c>
      <c r="T15" s="189">
        <v>11.5</v>
      </c>
      <c r="U15" s="84" t="s">
        <v>212</v>
      </c>
      <c r="V15" s="188">
        <v>11.5</v>
      </c>
      <c r="X15" s="113" t="s">
        <v>212</v>
      </c>
      <c r="Y15" s="84" t="s">
        <v>194</v>
      </c>
      <c r="Z15" s="84" t="s">
        <v>240</v>
      </c>
      <c r="AA15" s="84" t="s">
        <v>177</v>
      </c>
      <c r="AB15" s="160" t="s">
        <v>197</v>
      </c>
    </row>
    <row r="16" spans="2:32" x14ac:dyDescent="0.25">
      <c r="B16" s="113" t="s">
        <v>307</v>
      </c>
      <c r="C16" s="160" t="s">
        <v>199</v>
      </c>
      <c r="E16" s="113" t="s">
        <v>306</v>
      </c>
      <c r="F16" s="175">
        <v>4.1666666666666661</v>
      </c>
      <c r="H16" s="202" t="s">
        <v>280</v>
      </c>
      <c r="I16" s="201">
        <v>10.5</v>
      </c>
      <c r="K16" s="194">
        <v>1</v>
      </c>
      <c r="L16" s="175">
        <v>6.4285714285714288</v>
      </c>
      <c r="N16" s="198">
        <v>4</v>
      </c>
      <c r="O16" s="175">
        <v>10.5</v>
      </c>
      <c r="Q16" s="197">
        <v>0.1</v>
      </c>
      <c r="R16" s="175">
        <v>10.5</v>
      </c>
      <c r="T16" s="189">
        <v>12.5</v>
      </c>
      <c r="U16" s="84" t="s">
        <v>240</v>
      </c>
      <c r="V16" s="188">
        <v>12.5</v>
      </c>
      <c r="X16" s="113" t="s">
        <v>240</v>
      </c>
      <c r="Y16" s="84" t="s">
        <v>172</v>
      </c>
      <c r="Z16" s="84" t="s">
        <v>194</v>
      </c>
      <c r="AA16" s="84" t="s">
        <v>212</v>
      </c>
      <c r="AB16" s="160" t="s">
        <v>177</v>
      </c>
    </row>
    <row r="17" spans="2:28" x14ac:dyDescent="0.25">
      <c r="B17" s="113" t="s">
        <v>305</v>
      </c>
      <c r="C17" s="160" t="s">
        <v>194</v>
      </c>
      <c r="E17" s="113" t="s">
        <v>304</v>
      </c>
      <c r="F17" s="175">
        <v>7.3333333333333321</v>
      </c>
      <c r="H17" s="202" t="s">
        <v>303</v>
      </c>
      <c r="I17" s="201">
        <v>15.25</v>
      </c>
      <c r="K17" s="194">
        <v>2</v>
      </c>
      <c r="L17" s="175">
        <v>9.1428571428571423</v>
      </c>
      <c r="N17" s="198">
        <v>6.5</v>
      </c>
      <c r="O17" s="175">
        <v>7.3333333333333339</v>
      </c>
      <c r="Q17" s="197">
        <v>0.15</v>
      </c>
      <c r="R17" s="175">
        <v>7.3333333333333339</v>
      </c>
      <c r="T17" s="189">
        <v>13.5</v>
      </c>
      <c r="U17" s="84" t="s">
        <v>194</v>
      </c>
      <c r="V17" s="188">
        <v>13.5</v>
      </c>
      <c r="X17" s="113" t="s">
        <v>194</v>
      </c>
      <c r="Y17" s="84" t="s">
        <v>175</v>
      </c>
      <c r="Z17" s="84" t="s">
        <v>172</v>
      </c>
      <c r="AA17" s="84" t="s">
        <v>240</v>
      </c>
      <c r="AB17" s="160" t="s">
        <v>212</v>
      </c>
    </row>
    <row r="18" spans="2:28" ht="15.75" thickBot="1" x14ac:dyDescent="0.3">
      <c r="B18" s="113" t="s">
        <v>302</v>
      </c>
      <c r="C18" s="160" t="s">
        <v>177</v>
      </c>
      <c r="E18" s="113" t="s">
        <v>301</v>
      </c>
      <c r="F18" s="175">
        <v>10.499999999999998</v>
      </c>
      <c r="H18" s="200" t="s">
        <v>300</v>
      </c>
      <c r="I18" s="199">
        <v>20</v>
      </c>
      <c r="K18" s="194">
        <v>3</v>
      </c>
      <c r="L18" s="175">
        <v>11.857142857142858</v>
      </c>
      <c r="N18" s="198">
        <v>9</v>
      </c>
      <c r="O18" s="175">
        <v>4.1666666666666679</v>
      </c>
      <c r="Q18" s="197">
        <v>0.2</v>
      </c>
      <c r="R18" s="175">
        <v>4.1666666666666679</v>
      </c>
      <c r="T18" s="189">
        <v>14.5</v>
      </c>
      <c r="U18" s="84" t="s">
        <v>172</v>
      </c>
      <c r="V18" s="188">
        <v>14.5</v>
      </c>
      <c r="X18" s="113" t="s">
        <v>172</v>
      </c>
      <c r="Y18" s="84" t="s">
        <v>257</v>
      </c>
      <c r="Z18" s="84" t="s">
        <v>175</v>
      </c>
      <c r="AA18" s="84" t="s">
        <v>194</v>
      </c>
      <c r="AB18" s="160" t="s">
        <v>240</v>
      </c>
    </row>
    <row r="19" spans="2:28" ht="15.75" thickBot="1" x14ac:dyDescent="0.3">
      <c r="B19" s="113" t="s">
        <v>299</v>
      </c>
      <c r="C19" s="160" t="s">
        <v>177</v>
      </c>
      <c r="E19" s="113" t="s">
        <v>298</v>
      </c>
      <c r="F19" s="175">
        <v>13.666666666666664</v>
      </c>
      <c r="K19" s="194">
        <v>4</v>
      </c>
      <c r="L19" s="175">
        <v>14.571428571428573</v>
      </c>
      <c r="N19" s="196">
        <v>12</v>
      </c>
      <c r="O19" s="170">
        <v>1.0000000000000013</v>
      </c>
      <c r="Q19" s="195">
        <v>0.2</v>
      </c>
      <c r="R19" s="170">
        <v>1.0000000000000013</v>
      </c>
      <c r="T19" s="189">
        <v>15.5</v>
      </c>
      <c r="U19" s="84" t="s">
        <v>175</v>
      </c>
      <c r="V19" s="188">
        <v>15.5</v>
      </c>
      <c r="X19" s="113" t="s">
        <v>175</v>
      </c>
      <c r="Y19" s="84" t="s">
        <v>290</v>
      </c>
      <c r="Z19" s="84" t="s">
        <v>257</v>
      </c>
      <c r="AA19" s="84" t="s">
        <v>172</v>
      </c>
      <c r="AB19" s="160" t="s">
        <v>194</v>
      </c>
    </row>
    <row r="20" spans="2:28" ht="15.75" thickBot="1" x14ac:dyDescent="0.3">
      <c r="B20" s="113" t="s">
        <v>297</v>
      </c>
      <c r="C20" s="160" t="s">
        <v>175</v>
      </c>
      <c r="E20" s="113" t="s">
        <v>296</v>
      </c>
      <c r="F20" s="175">
        <v>16.833333333333332</v>
      </c>
      <c r="K20" s="194">
        <v>6</v>
      </c>
      <c r="L20" s="175">
        <v>17.285714285714288</v>
      </c>
      <c r="T20" s="189">
        <v>16.5</v>
      </c>
      <c r="U20" s="84" t="s">
        <v>257</v>
      </c>
      <c r="V20" s="188">
        <v>16.5</v>
      </c>
      <c r="X20" s="113" t="s">
        <v>257</v>
      </c>
      <c r="Y20" s="84" t="s">
        <v>244</v>
      </c>
      <c r="Z20" s="84" t="s">
        <v>290</v>
      </c>
      <c r="AA20" s="84" t="s">
        <v>175</v>
      </c>
      <c r="AB20" s="160" t="s">
        <v>172</v>
      </c>
    </row>
    <row r="21" spans="2:28" ht="15.75" thickBot="1" x14ac:dyDescent="0.3">
      <c r="B21" s="113" t="s">
        <v>295</v>
      </c>
      <c r="C21" s="160" t="s">
        <v>179</v>
      </c>
      <c r="E21" s="159" t="s">
        <v>294</v>
      </c>
      <c r="F21" s="170">
        <v>20</v>
      </c>
      <c r="K21" s="193">
        <v>8</v>
      </c>
      <c r="L21" s="170">
        <v>20.000000000000004</v>
      </c>
      <c r="N21" s="357" t="s">
        <v>143</v>
      </c>
      <c r="O21" s="359"/>
      <c r="T21" s="189">
        <v>17.5</v>
      </c>
      <c r="U21" s="84" t="s">
        <v>290</v>
      </c>
      <c r="V21" s="188">
        <v>17.5</v>
      </c>
      <c r="X21" s="113" t="s">
        <v>290</v>
      </c>
      <c r="Y21" s="84" t="s">
        <v>291</v>
      </c>
      <c r="Z21" s="84" t="s">
        <v>244</v>
      </c>
      <c r="AA21" s="84" t="s">
        <v>257</v>
      </c>
      <c r="AB21" s="160" t="s">
        <v>175</v>
      </c>
    </row>
    <row r="22" spans="2:28" ht="15.75" thickBot="1" x14ac:dyDescent="0.3">
      <c r="B22" s="113" t="s">
        <v>293</v>
      </c>
      <c r="C22" s="160" t="s">
        <v>172</v>
      </c>
      <c r="N22" s="192">
        <v>0</v>
      </c>
      <c r="O22" s="191">
        <v>20</v>
      </c>
      <c r="P22" s="190"/>
      <c r="T22" s="189">
        <v>18.5</v>
      </c>
      <c r="U22" s="84" t="s">
        <v>244</v>
      </c>
      <c r="V22" s="188">
        <v>18.5</v>
      </c>
      <c r="X22" s="113" t="s">
        <v>244</v>
      </c>
      <c r="Y22" s="84" t="s">
        <v>133</v>
      </c>
      <c r="Z22" s="84" t="s">
        <v>291</v>
      </c>
      <c r="AA22" s="84" t="s">
        <v>290</v>
      </c>
      <c r="AB22" s="160" t="s">
        <v>257</v>
      </c>
    </row>
    <row r="23" spans="2:28" ht="15.75" thickBot="1" x14ac:dyDescent="0.3">
      <c r="B23" s="113" t="s">
        <v>292</v>
      </c>
      <c r="C23" s="160" t="s">
        <v>190</v>
      </c>
      <c r="E23" s="357" t="s">
        <v>160</v>
      </c>
      <c r="F23" s="359"/>
      <c r="N23" s="176">
        <v>0.02</v>
      </c>
      <c r="O23" s="175">
        <v>17.285714285714285</v>
      </c>
      <c r="T23" s="187">
        <v>19.5</v>
      </c>
      <c r="U23" s="185" t="s">
        <v>291</v>
      </c>
      <c r="V23" s="186">
        <v>19.5</v>
      </c>
      <c r="X23" s="159" t="s">
        <v>291</v>
      </c>
      <c r="Y23" s="185" t="s">
        <v>133</v>
      </c>
      <c r="Z23" s="185" t="s">
        <v>133</v>
      </c>
      <c r="AA23" s="185" t="s">
        <v>244</v>
      </c>
      <c r="AB23" s="158" t="s">
        <v>290</v>
      </c>
    </row>
    <row r="24" spans="2:28" ht="15.75" thickBot="1" x14ac:dyDescent="0.3">
      <c r="B24" s="113" t="s">
        <v>289</v>
      </c>
      <c r="C24" s="160" t="s">
        <v>190</v>
      </c>
      <c r="E24" s="184" t="s">
        <v>154</v>
      </c>
      <c r="F24" s="183" t="s">
        <v>133</v>
      </c>
      <c r="N24" s="176">
        <v>0.06</v>
      </c>
      <c r="O24" s="175">
        <v>14.571428571428569</v>
      </c>
    </row>
    <row r="25" spans="2:28" ht="15.75" thickBot="1" x14ac:dyDescent="0.3">
      <c r="B25" s="113" t="s">
        <v>288</v>
      </c>
      <c r="C25" s="160" t="s">
        <v>177</v>
      </c>
      <c r="E25" s="113" t="s">
        <v>287</v>
      </c>
      <c r="F25" s="177">
        <v>1</v>
      </c>
      <c r="N25" s="176">
        <v>0.15</v>
      </c>
      <c r="O25" s="175">
        <v>11.857142857142854</v>
      </c>
      <c r="X25" s="361" t="s">
        <v>286</v>
      </c>
      <c r="Y25" s="362"/>
      <c r="AA25" s="182" t="s">
        <v>285</v>
      </c>
    </row>
    <row r="26" spans="2:28" x14ac:dyDescent="0.25">
      <c r="B26" s="113" t="s">
        <v>284</v>
      </c>
      <c r="C26" s="160" t="s">
        <v>172</v>
      </c>
      <c r="E26" s="113" t="s">
        <v>283</v>
      </c>
      <c r="F26" s="177">
        <v>5.75</v>
      </c>
      <c r="N26" s="176">
        <v>0.25</v>
      </c>
      <c r="O26" s="175">
        <v>9.1428571428571388</v>
      </c>
      <c r="X26" s="181" t="s">
        <v>282</v>
      </c>
      <c r="Y26" s="180">
        <v>2</v>
      </c>
      <c r="AA26" s="179" t="s">
        <v>282</v>
      </c>
    </row>
    <row r="27" spans="2:28" x14ac:dyDescent="0.25">
      <c r="B27" s="113" t="s">
        <v>281</v>
      </c>
      <c r="C27" s="160" t="s">
        <v>212</v>
      </c>
      <c r="E27" s="113" t="s">
        <v>280</v>
      </c>
      <c r="F27" s="177">
        <v>10.5</v>
      </c>
      <c r="N27" s="176">
        <v>0.4</v>
      </c>
      <c r="O27" s="175">
        <v>6.4285714285714244</v>
      </c>
      <c r="X27" s="174" t="s">
        <v>279</v>
      </c>
      <c r="Y27" s="160">
        <v>3</v>
      </c>
      <c r="AA27" s="178" t="s">
        <v>279</v>
      </c>
    </row>
    <row r="28" spans="2:28" x14ac:dyDescent="0.25">
      <c r="B28" s="113" t="s">
        <v>278</v>
      </c>
      <c r="C28" s="160" t="s">
        <v>212</v>
      </c>
      <c r="E28" s="113" t="s">
        <v>277</v>
      </c>
      <c r="F28" s="177">
        <v>15.25</v>
      </c>
      <c r="N28" s="176">
        <v>0.7</v>
      </c>
      <c r="O28" s="175">
        <v>3.71428571428571</v>
      </c>
      <c r="X28" s="174" t="s">
        <v>274</v>
      </c>
      <c r="Y28" s="160">
        <v>4</v>
      </c>
      <c r="AA28" s="173" t="s">
        <v>133</v>
      </c>
    </row>
    <row r="29" spans="2:28" ht="15.75" thickBot="1" x14ac:dyDescent="0.3">
      <c r="B29" s="113" t="s">
        <v>276</v>
      </c>
      <c r="C29" s="160" t="s">
        <v>257</v>
      </c>
      <c r="E29" s="159" t="s">
        <v>275</v>
      </c>
      <c r="F29" s="172">
        <v>20</v>
      </c>
      <c r="N29" s="171">
        <v>1.2</v>
      </c>
      <c r="O29" s="170">
        <v>0.99999999999999556</v>
      </c>
      <c r="X29" s="169" t="s">
        <v>272</v>
      </c>
      <c r="Y29" s="158">
        <v>5</v>
      </c>
      <c r="AA29" s="168" t="s">
        <v>274</v>
      </c>
    </row>
    <row r="30" spans="2:28" ht="15.75" thickBot="1" x14ac:dyDescent="0.3">
      <c r="B30" s="113" t="s">
        <v>273</v>
      </c>
      <c r="C30" s="160" t="s">
        <v>190</v>
      </c>
      <c r="AA30" s="167" t="s">
        <v>272</v>
      </c>
    </row>
    <row r="31" spans="2:28" ht="15.75" thickBot="1" x14ac:dyDescent="0.3">
      <c r="B31" s="113" t="s">
        <v>271</v>
      </c>
      <c r="C31" s="160" t="s">
        <v>179</v>
      </c>
      <c r="X31" s="166" t="s">
        <v>270</v>
      </c>
      <c r="Y31" s="165">
        <f>VLOOKUP('R.Output_General Industries'!I60,'Reference Data_General'!X26:Y29,2,FALSE)</f>
        <v>2</v>
      </c>
    </row>
    <row r="32" spans="2:28" x14ac:dyDescent="0.25">
      <c r="B32" s="113" t="s">
        <v>269</v>
      </c>
      <c r="C32" s="160" t="s">
        <v>175</v>
      </c>
    </row>
    <row r="33" spans="2:12" x14ac:dyDescent="0.25">
      <c r="B33" s="113" t="s">
        <v>268</v>
      </c>
      <c r="C33" s="160" t="s">
        <v>257</v>
      </c>
    </row>
    <row r="34" spans="2:12" x14ac:dyDescent="0.25">
      <c r="B34" s="113" t="s">
        <v>267</v>
      </c>
      <c r="C34" s="160" t="s">
        <v>177</v>
      </c>
      <c r="K34" s="164"/>
      <c r="L34" s="163"/>
    </row>
    <row r="35" spans="2:12" x14ac:dyDescent="0.25">
      <c r="B35" s="113" t="s">
        <v>266</v>
      </c>
      <c r="C35" s="160" t="s">
        <v>194</v>
      </c>
    </row>
    <row r="36" spans="2:12" x14ac:dyDescent="0.25">
      <c r="B36" s="113" t="s">
        <v>265</v>
      </c>
      <c r="C36" s="160" t="s">
        <v>190</v>
      </c>
    </row>
    <row r="37" spans="2:12" x14ac:dyDescent="0.25">
      <c r="B37" s="113" t="s">
        <v>264</v>
      </c>
      <c r="C37" s="160" t="s">
        <v>179</v>
      </c>
    </row>
    <row r="38" spans="2:12" x14ac:dyDescent="0.25">
      <c r="B38" s="113" t="s">
        <v>263</v>
      </c>
      <c r="C38" s="160" t="s">
        <v>253</v>
      </c>
    </row>
    <row r="39" spans="2:12" x14ac:dyDescent="0.25">
      <c r="B39" s="113" t="s">
        <v>262</v>
      </c>
      <c r="C39" s="160" t="s">
        <v>194</v>
      </c>
      <c r="E39" s="360"/>
      <c r="F39" s="360"/>
    </row>
    <row r="40" spans="2:12" x14ac:dyDescent="0.25">
      <c r="B40" s="113" t="s">
        <v>261</v>
      </c>
      <c r="C40" s="160" t="s">
        <v>194</v>
      </c>
      <c r="E40" s="161"/>
    </row>
    <row r="41" spans="2:12" x14ac:dyDescent="0.25">
      <c r="B41" s="113" t="s">
        <v>260</v>
      </c>
      <c r="C41" s="160" t="s">
        <v>179</v>
      </c>
      <c r="E41" s="161"/>
    </row>
    <row r="42" spans="2:12" x14ac:dyDescent="0.25">
      <c r="B42" s="113" t="s">
        <v>259</v>
      </c>
      <c r="C42" s="160" t="s">
        <v>175</v>
      </c>
      <c r="E42" s="162"/>
    </row>
    <row r="43" spans="2:12" x14ac:dyDescent="0.25">
      <c r="B43" s="113" t="s">
        <v>258</v>
      </c>
      <c r="C43" s="160" t="s">
        <v>257</v>
      </c>
      <c r="E43" s="161"/>
    </row>
    <row r="44" spans="2:12" x14ac:dyDescent="0.25">
      <c r="B44" s="113" t="s">
        <v>256</v>
      </c>
      <c r="C44" s="160" t="s">
        <v>212</v>
      </c>
      <c r="E44" s="161"/>
    </row>
    <row r="45" spans="2:12" x14ac:dyDescent="0.25">
      <c r="B45" s="113" t="s">
        <v>255</v>
      </c>
      <c r="C45" s="160" t="s">
        <v>229</v>
      </c>
    </row>
    <row r="46" spans="2:12" x14ac:dyDescent="0.25">
      <c r="B46" s="113" t="s">
        <v>254</v>
      </c>
      <c r="C46" s="160" t="s">
        <v>253</v>
      </c>
    </row>
    <row r="47" spans="2:12" x14ac:dyDescent="0.25">
      <c r="B47" s="113" t="s">
        <v>252</v>
      </c>
      <c r="C47" s="160" t="s">
        <v>212</v>
      </c>
    </row>
    <row r="48" spans="2:12" x14ac:dyDescent="0.25">
      <c r="B48" s="113" t="s">
        <v>251</v>
      </c>
      <c r="C48" s="160" t="s">
        <v>197</v>
      </c>
    </row>
    <row r="49" spans="2:3" x14ac:dyDescent="0.25">
      <c r="B49" s="113" t="s">
        <v>250</v>
      </c>
      <c r="C49" s="160" t="s">
        <v>177</v>
      </c>
    </row>
    <row r="50" spans="2:3" x14ac:dyDescent="0.25">
      <c r="B50" s="113" t="s">
        <v>249</v>
      </c>
      <c r="C50" s="160" t="s">
        <v>177</v>
      </c>
    </row>
    <row r="51" spans="2:3" x14ac:dyDescent="0.25">
      <c r="B51" s="113" t="s">
        <v>248</v>
      </c>
      <c r="C51" s="160" t="s">
        <v>188</v>
      </c>
    </row>
    <row r="52" spans="2:3" x14ac:dyDescent="0.25">
      <c r="B52" s="113" t="s">
        <v>247</v>
      </c>
      <c r="C52" s="160" t="s">
        <v>229</v>
      </c>
    </row>
    <row r="53" spans="2:3" x14ac:dyDescent="0.25">
      <c r="B53" s="113" t="s">
        <v>246</v>
      </c>
      <c r="C53" s="160" t="s">
        <v>188</v>
      </c>
    </row>
    <row r="54" spans="2:3" x14ac:dyDescent="0.25">
      <c r="B54" s="113" t="s">
        <v>245</v>
      </c>
      <c r="C54" s="160" t="s">
        <v>244</v>
      </c>
    </row>
    <row r="55" spans="2:3" x14ac:dyDescent="0.25">
      <c r="B55" s="113" t="s">
        <v>243</v>
      </c>
      <c r="C55" s="160" t="s">
        <v>190</v>
      </c>
    </row>
    <row r="56" spans="2:3" x14ac:dyDescent="0.25">
      <c r="B56" s="113" t="s">
        <v>242</v>
      </c>
      <c r="C56" s="160" t="s">
        <v>188</v>
      </c>
    </row>
    <row r="57" spans="2:3" x14ac:dyDescent="0.25">
      <c r="B57" s="113" t="s">
        <v>241</v>
      </c>
      <c r="C57" s="160" t="s">
        <v>240</v>
      </c>
    </row>
    <row r="58" spans="2:3" x14ac:dyDescent="0.25">
      <c r="B58" s="113" t="s">
        <v>239</v>
      </c>
      <c r="C58" s="160" t="s">
        <v>182</v>
      </c>
    </row>
    <row r="59" spans="2:3" x14ac:dyDescent="0.25">
      <c r="B59" s="113" t="s">
        <v>238</v>
      </c>
      <c r="C59" s="160" t="s">
        <v>188</v>
      </c>
    </row>
    <row r="60" spans="2:3" x14ac:dyDescent="0.25">
      <c r="B60" s="113" t="s">
        <v>237</v>
      </c>
      <c r="C60" s="160" t="s">
        <v>175</v>
      </c>
    </row>
    <row r="61" spans="2:3" x14ac:dyDescent="0.25">
      <c r="B61" s="113" t="s">
        <v>236</v>
      </c>
      <c r="C61" s="160" t="s">
        <v>194</v>
      </c>
    </row>
    <row r="62" spans="2:3" x14ac:dyDescent="0.25">
      <c r="B62" s="113" t="s">
        <v>235</v>
      </c>
      <c r="C62" s="160" t="s">
        <v>188</v>
      </c>
    </row>
    <row r="63" spans="2:3" x14ac:dyDescent="0.25">
      <c r="B63" s="113" t="s">
        <v>234</v>
      </c>
      <c r="C63" s="160" t="s">
        <v>179</v>
      </c>
    </row>
    <row r="64" spans="2:3" x14ac:dyDescent="0.25">
      <c r="B64" s="113" t="s">
        <v>233</v>
      </c>
      <c r="C64" s="160" t="s">
        <v>199</v>
      </c>
    </row>
    <row r="65" spans="2:3" x14ac:dyDescent="0.25">
      <c r="B65" s="113" t="s">
        <v>232</v>
      </c>
      <c r="C65" s="160" t="s">
        <v>212</v>
      </c>
    </row>
    <row r="66" spans="2:3" x14ac:dyDescent="0.25">
      <c r="B66" s="113" t="s">
        <v>231</v>
      </c>
      <c r="C66" s="160" t="s">
        <v>214</v>
      </c>
    </row>
    <row r="67" spans="2:3" x14ac:dyDescent="0.25">
      <c r="B67" s="113" t="s">
        <v>230</v>
      </c>
      <c r="C67" s="160" t="s">
        <v>229</v>
      </c>
    </row>
    <row r="68" spans="2:3" x14ac:dyDescent="0.25">
      <c r="B68" s="113" t="s">
        <v>228</v>
      </c>
      <c r="C68" s="160" t="s">
        <v>188</v>
      </c>
    </row>
    <row r="69" spans="2:3" x14ac:dyDescent="0.25">
      <c r="B69" s="113" t="s">
        <v>227</v>
      </c>
      <c r="C69" s="160" t="s">
        <v>172</v>
      </c>
    </row>
    <row r="70" spans="2:3" x14ac:dyDescent="0.25">
      <c r="B70" s="113" t="s">
        <v>226</v>
      </c>
      <c r="C70" s="160" t="s">
        <v>177</v>
      </c>
    </row>
    <row r="71" spans="2:3" x14ac:dyDescent="0.25">
      <c r="B71" s="113" t="s">
        <v>225</v>
      </c>
      <c r="C71" s="160" t="s">
        <v>172</v>
      </c>
    </row>
    <row r="72" spans="2:3" x14ac:dyDescent="0.25">
      <c r="B72" s="113" t="s">
        <v>224</v>
      </c>
      <c r="C72" s="160" t="s">
        <v>177</v>
      </c>
    </row>
    <row r="73" spans="2:3" x14ac:dyDescent="0.25">
      <c r="B73" s="113" t="s">
        <v>223</v>
      </c>
      <c r="C73" s="160" t="s">
        <v>179</v>
      </c>
    </row>
    <row r="74" spans="2:3" x14ac:dyDescent="0.25">
      <c r="B74" s="113" t="s">
        <v>222</v>
      </c>
      <c r="C74" s="160" t="s">
        <v>182</v>
      </c>
    </row>
    <row r="75" spans="2:3" x14ac:dyDescent="0.25">
      <c r="B75" s="113" t="s">
        <v>221</v>
      </c>
      <c r="C75" s="160" t="s">
        <v>194</v>
      </c>
    </row>
    <row r="76" spans="2:3" x14ac:dyDescent="0.25">
      <c r="B76" s="113" t="s">
        <v>220</v>
      </c>
      <c r="C76" s="160" t="s">
        <v>179</v>
      </c>
    </row>
    <row r="77" spans="2:3" x14ac:dyDescent="0.25">
      <c r="B77" s="113" t="s">
        <v>219</v>
      </c>
      <c r="C77" s="160" t="s">
        <v>197</v>
      </c>
    </row>
    <row r="78" spans="2:3" x14ac:dyDescent="0.25">
      <c r="B78" s="113" t="s">
        <v>218</v>
      </c>
      <c r="C78" s="160" t="s">
        <v>194</v>
      </c>
    </row>
    <row r="79" spans="2:3" x14ac:dyDescent="0.25">
      <c r="B79" s="113" t="s">
        <v>217</v>
      </c>
      <c r="C79" s="160" t="s">
        <v>197</v>
      </c>
    </row>
    <row r="80" spans="2:3" x14ac:dyDescent="0.25">
      <c r="B80" s="113" t="s">
        <v>216</v>
      </c>
      <c r="C80" s="160" t="s">
        <v>179</v>
      </c>
    </row>
    <row r="81" spans="2:3" x14ac:dyDescent="0.25">
      <c r="B81" s="113" t="s">
        <v>215</v>
      </c>
      <c r="C81" s="160" t="s">
        <v>214</v>
      </c>
    </row>
    <row r="82" spans="2:3" x14ac:dyDescent="0.25">
      <c r="B82" s="113" t="s">
        <v>213</v>
      </c>
      <c r="C82" s="160" t="s">
        <v>212</v>
      </c>
    </row>
    <row r="83" spans="2:3" x14ac:dyDescent="0.25">
      <c r="B83" s="113" t="s">
        <v>211</v>
      </c>
      <c r="C83" s="160" t="s">
        <v>177</v>
      </c>
    </row>
    <row r="84" spans="2:3" x14ac:dyDescent="0.25">
      <c r="B84" s="113" t="s">
        <v>210</v>
      </c>
      <c r="C84" s="160" t="s">
        <v>197</v>
      </c>
    </row>
    <row r="85" spans="2:3" x14ac:dyDescent="0.25">
      <c r="B85" s="113" t="s">
        <v>209</v>
      </c>
      <c r="C85" s="160" t="s">
        <v>175</v>
      </c>
    </row>
    <row r="86" spans="2:3" x14ac:dyDescent="0.25">
      <c r="B86" s="113" t="s">
        <v>208</v>
      </c>
      <c r="C86" s="160" t="s">
        <v>188</v>
      </c>
    </row>
    <row r="87" spans="2:3" x14ac:dyDescent="0.25">
      <c r="B87" s="113" t="s">
        <v>207</v>
      </c>
      <c r="C87" s="160" t="s">
        <v>199</v>
      </c>
    </row>
    <row r="88" spans="2:3" x14ac:dyDescent="0.25">
      <c r="B88" s="113" t="s">
        <v>206</v>
      </c>
      <c r="C88" s="160" t="s">
        <v>194</v>
      </c>
    </row>
    <row r="89" spans="2:3" x14ac:dyDescent="0.25">
      <c r="B89" s="113" t="s">
        <v>205</v>
      </c>
      <c r="C89" s="160" t="s">
        <v>175</v>
      </c>
    </row>
    <row r="90" spans="2:3" x14ac:dyDescent="0.25">
      <c r="B90" s="113" t="s">
        <v>204</v>
      </c>
      <c r="C90" s="160" t="s">
        <v>179</v>
      </c>
    </row>
    <row r="91" spans="2:3" x14ac:dyDescent="0.25">
      <c r="B91" s="113" t="s">
        <v>203</v>
      </c>
      <c r="C91" s="160" t="s">
        <v>190</v>
      </c>
    </row>
    <row r="92" spans="2:3" x14ac:dyDescent="0.25">
      <c r="B92" s="113" t="s">
        <v>202</v>
      </c>
      <c r="C92" s="160" t="s">
        <v>188</v>
      </c>
    </row>
    <row r="93" spans="2:3" x14ac:dyDescent="0.25">
      <c r="B93" s="113" t="s">
        <v>201</v>
      </c>
      <c r="C93" s="160" t="s">
        <v>197</v>
      </c>
    </row>
    <row r="94" spans="2:3" x14ac:dyDescent="0.25">
      <c r="B94" s="113" t="s">
        <v>200</v>
      </c>
      <c r="C94" s="160" t="s">
        <v>199</v>
      </c>
    </row>
    <row r="95" spans="2:3" x14ac:dyDescent="0.25">
      <c r="B95" s="113" t="s">
        <v>198</v>
      </c>
      <c r="C95" s="160" t="s">
        <v>197</v>
      </c>
    </row>
    <row r="96" spans="2:3" x14ac:dyDescent="0.25">
      <c r="B96" s="113" t="s">
        <v>196</v>
      </c>
      <c r="C96" s="160" t="s">
        <v>194</v>
      </c>
    </row>
    <row r="97" spans="2:3" x14ac:dyDescent="0.25">
      <c r="B97" s="113" t="s">
        <v>195</v>
      </c>
      <c r="C97" s="160" t="s">
        <v>194</v>
      </c>
    </row>
    <row r="98" spans="2:3" x14ac:dyDescent="0.25">
      <c r="B98" s="113" t="s">
        <v>193</v>
      </c>
      <c r="C98" s="160" t="s">
        <v>179</v>
      </c>
    </row>
    <row r="99" spans="2:3" x14ac:dyDescent="0.25">
      <c r="B99" s="113" t="s">
        <v>192</v>
      </c>
      <c r="C99" s="160" t="s">
        <v>179</v>
      </c>
    </row>
    <row r="100" spans="2:3" x14ac:dyDescent="0.25">
      <c r="B100" s="113" t="s">
        <v>191</v>
      </c>
      <c r="C100" s="160" t="s">
        <v>190</v>
      </c>
    </row>
    <row r="101" spans="2:3" x14ac:dyDescent="0.25">
      <c r="B101" s="113" t="s">
        <v>189</v>
      </c>
      <c r="C101" s="160" t="s">
        <v>188</v>
      </c>
    </row>
    <row r="102" spans="2:3" x14ac:dyDescent="0.25">
      <c r="B102" s="113" t="s">
        <v>187</v>
      </c>
      <c r="C102" s="160" t="s">
        <v>179</v>
      </c>
    </row>
    <row r="103" spans="2:3" x14ac:dyDescent="0.25">
      <c r="B103" s="113" t="s">
        <v>186</v>
      </c>
      <c r="C103" s="160" t="s">
        <v>177</v>
      </c>
    </row>
    <row r="104" spans="2:3" x14ac:dyDescent="0.25">
      <c r="B104" s="113" t="s">
        <v>185</v>
      </c>
      <c r="C104" s="160" t="s">
        <v>175</v>
      </c>
    </row>
    <row r="105" spans="2:3" x14ac:dyDescent="0.25">
      <c r="B105" s="113" t="s">
        <v>184</v>
      </c>
      <c r="C105" s="160" t="s">
        <v>175</v>
      </c>
    </row>
    <row r="106" spans="2:3" x14ac:dyDescent="0.25">
      <c r="B106" s="113" t="s">
        <v>183</v>
      </c>
      <c r="C106" s="160" t="s">
        <v>182</v>
      </c>
    </row>
    <row r="107" spans="2:3" x14ac:dyDescent="0.25">
      <c r="B107" s="113" t="s">
        <v>181</v>
      </c>
      <c r="C107" s="160" t="s">
        <v>179</v>
      </c>
    </row>
    <row r="108" spans="2:3" x14ac:dyDescent="0.25">
      <c r="B108" s="113" t="s">
        <v>180</v>
      </c>
      <c r="C108" s="160" t="s">
        <v>179</v>
      </c>
    </row>
    <row r="109" spans="2:3" x14ac:dyDescent="0.25">
      <c r="B109" s="113" t="s">
        <v>178</v>
      </c>
      <c r="C109" s="160" t="s">
        <v>177</v>
      </c>
    </row>
    <row r="110" spans="2:3" x14ac:dyDescent="0.25">
      <c r="B110" s="113" t="s">
        <v>176</v>
      </c>
      <c r="C110" s="160" t="s">
        <v>175</v>
      </c>
    </row>
    <row r="111" spans="2:3" x14ac:dyDescent="0.25">
      <c r="B111" s="113" t="s">
        <v>174</v>
      </c>
      <c r="C111" s="160" t="s">
        <v>172</v>
      </c>
    </row>
    <row r="112" spans="2:3" ht="15.75" thickBot="1" x14ac:dyDescent="0.3">
      <c r="B112" s="159" t="s">
        <v>173</v>
      </c>
      <c r="C112" s="158" t="s">
        <v>172</v>
      </c>
    </row>
  </sheetData>
  <mergeCells count="26">
    <mergeCell ref="B2:C2"/>
    <mergeCell ref="E13:F13"/>
    <mergeCell ref="E23:F23"/>
    <mergeCell ref="B4:C4"/>
    <mergeCell ref="H12:I12"/>
    <mergeCell ref="E2:F2"/>
    <mergeCell ref="E4:F4"/>
    <mergeCell ref="E39:F39"/>
    <mergeCell ref="H4:I4"/>
    <mergeCell ref="H2:I2"/>
    <mergeCell ref="T2:V2"/>
    <mergeCell ref="X2:AB2"/>
    <mergeCell ref="X25:Y25"/>
    <mergeCell ref="N12:O12"/>
    <mergeCell ref="N21:O21"/>
    <mergeCell ref="Q12:R12"/>
    <mergeCell ref="K2:L2"/>
    <mergeCell ref="K4:L4"/>
    <mergeCell ref="K13:L13"/>
    <mergeCell ref="AD4:AF4"/>
    <mergeCell ref="AD2:AF2"/>
    <mergeCell ref="U3:V3"/>
    <mergeCell ref="N2:O2"/>
    <mergeCell ref="N4:O4"/>
    <mergeCell ref="Q2:R2"/>
    <mergeCell ref="Q4:R4"/>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F112"/>
  <sheetViews>
    <sheetView showGridLines="0" workbookViewId="0">
      <selection activeCell="H38" sqref="H38"/>
    </sheetView>
  </sheetViews>
  <sheetFormatPr defaultRowHeight="15" x14ac:dyDescent="0.25"/>
  <cols>
    <col min="2" max="2" width="20" bestFit="1" customWidth="1"/>
    <col min="3" max="3" width="8.85546875" bestFit="1" customWidth="1"/>
    <col min="5" max="5" width="21.85546875" bestFit="1" customWidth="1"/>
    <col min="6" max="6" width="14" customWidth="1"/>
    <col min="8" max="8" width="22.85546875" bestFit="1" customWidth="1"/>
    <col min="9" max="9" width="15" customWidth="1"/>
    <col min="11" max="11" width="17.42578125" customWidth="1"/>
    <col min="12" max="12" width="17.5703125" customWidth="1"/>
    <col min="14" max="15" width="35" customWidth="1"/>
    <col min="17" max="17" width="21.7109375" customWidth="1"/>
    <col min="18" max="18" width="20" customWidth="1"/>
    <col min="19" max="19" width="9.7109375" customWidth="1"/>
  </cols>
  <sheetData>
    <row r="2" spans="2:32" x14ac:dyDescent="0.25">
      <c r="B2" s="360" t="s">
        <v>165</v>
      </c>
      <c r="C2" s="360"/>
      <c r="E2" s="360" t="str">
        <f>R.Output_Refineries!C13</f>
        <v>FACTOR 1:  SIZE AND SCALE (35%)</v>
      </c>
      <c r="F2" s="360"/>
      <c r="H2" s="360" t="str">
        <f>R.Output_Refineries!C22</f>
        <v>FACTOR 2:  REFINERY PROFITABILITY (15%)</v>
      </c>
      <c r="I2" s="360"/>
      <c r="K2" s="360" t="str">
        <f>R.Output_Refineries!C27</f>
        <v>FACTOR 3:  FINANCIAL FLEXIBILITY (35%)</v>
      </c>
      <c r="L2" s="360"/>
      <c r="N2" s="360" t="str">
        <f>R.Output_Refineries!C38</f>
        <v>FACTOR 4:  INSTITUTIONAL FRAMEWORK/ OPERATING ENVIRONMENT (15%)</v>
      </c>
      <c r="O2" s="360"/>
      <c r="Q2" s="360"/>
      <c r="R2" s="360"/>
      <c r="T2" s="360" t="s">
        <v>341</v>
      </c>
      <c r="U2" s="360"/>
      <c r="V2" s="360"/>
      <c r="X2" s="360" t="s">
        <v>340</v>
      </c>
      <c r="Y2" s="360"/>
      <c r="Z2" s="360"/>
      <c r="AA2" s="360"/>
      <c r="AB2" s="360"/>
      <c r="AD2" s="360" t="s">
        <v>339</v>
      </c>
      <c r="AE2" s="360"/>
      <c r="AF2" s="360"/>
    </row>
    <row r="3" spans="2:32" ht="15.75" thickBot="1" x14ac:dyDescent="0.3">
      <c r="U3" s="360"/>
      <c r="V3" s="360"/>
    </row>
    <row r="4" spans="2:32" ht="15.75" thickBot="1" x14ac:dyDescent="0.3">
      <c r="B4" s="357" t="s">
        <v>338</v>
      </c>
      <c r="C4" s="359"/>
      <c r="E4" s="357" t="str">
        <f>R.Output_Refineries!D15</f>
        <v>Crude distillation capacity (mbbls/day)</v>
      </c>
      <c r="F4" s="359"/>
      <c r="H4" s="363" t="str">
        <f>R.Output_Refineries!D24</f>
        <v xml:space="preserve">EBIT/Total Throughput Barrels </v>
      </c>
      <c r="I4" s="364"/>
      <c r="K4" s="357" t="str">
        <f>R.Output_Refineries!D29</f>
        <v>Debt/Complexity Barrels</v>
      </c>
      <c r="L4" s="359"/>
      <c r="M4" s="190"/>
      <c r="N4" s="357" t="str">
        <f>R.Output_Refineries!D40</f>
        <v>INSTITUTIONAL FRAMEWORK/ OPERATING ENVIRONMENT</v>
      </c>
      <c r="O4" s="359"/>
      <c r="S4" s="190"/>
      <c r="T4" s="223" t="s">
        <v>333</v>
      </c>
      <c r="U4" s="222" t="s">
        <v>334</v>
      </c>
      <c r="V4" s="221" t="s">
        <v>333</v>
      </c>
      <c r="X4" s="220"/>
      <c r="Y4" s="219">
        <v>-2</v>
      </c>
      <c r="Z4" s="219">
        <v>-1</v>
      </c>
      <c r="AA4" s="219">
        <v>1</v>
      </c>
      <c r="AB4" s="218">
        <v>2</v>
      </c>
      <c r="AD4" s="357" t="s">
        <v>332</v>
      </c>
      <c r="AE4" s="358"/>
      <c r="AF4" s="359"/>
    </row>
    <row r="5" spans="2:32" ht="60" x14ac:dyDescent="0.25">
      <c r="B5" s="184" t="s">
        <v>331</v>
      </c>
      <c r="C5" s="180" t="s">
        <v>330</v>
      </c>
      <c r="E5" s="217" t="s">
        <v>154</v>
      </c>
      <c r="F5" s="180" t="s">
        <v>133</v>
      </c>
      <c r="H5" s="113" t="s">
        <v>154</v>
      </c>
      <c r="I5" s="160" t="s">
        <v>133</v>
      </c>
      <c r="K5" s="113">
        <v>0</v>
      </c>
      <c r="L5" s="191">
        <v>1</v>
      </c>
      <c r="N5" s="233" t="s">
        <v>361</v>
      </c>
      <c r="O5" s="191">
        <v>1</v>
      </c>
      <c r="T5" s="215">
        <v>1.5</v>
      </c>
      <c r="U5" s="213" t="s">
        <v>179</v>
      </c>
      <c r="V5" s="214">
        <v>1.5</v>
      </c>
      <c r="X5" s="184" t="s">
        <v>179</v>
      </c>
      <c r="Y5" s="213" t="s">
        <v>182</v>
      </c>
      <c r="Z5" s="213" t="s">
        <v>253</v>
      </c>
      <c r="AA5" s="213" t="s">
        <v>133</v>
      </c>
      <c r="AB5" s="180" t="s">
        <v>133</v>
      </c>
      <c r="AD5" s="184" t="s">
        <v>329</v>
      </c>
      <c r="AE5" s="213"/>
      <c r="AF5" s="180">
        <f>IF('R.Output_General Industries'!G11="-",0,VLOOKUP('R.Output_General Industries'!G11,'Reference Data_Refineries'!U5:V24,2,FALSE))</f>
        <v>8.5</v>
      </c>
    </row>
    <row r="6" spans="2:32" ht="15.75" customHeight="1" thickBot="1" x14ac:dyDescent="0.3">
      <c r="B6" s="113" t="s">
        <v>154</v>
      </c>
      <c r="C6" s="160" t="s">
        <v>133</v>
      </c>
      <c r="E6" s="227">
        <v>0</v>
      </c>
      <c r="F6" s="225">
        <v>18</v>
      </c>
      <c r="H6" s="227">
        <v>0</v>
      </c>
      <c r="I6" s="177">
        <v>18</v>
      </c>
      <c r="K6" s="231">
        <v>25</v>
      </c>
      <c r="L6" s="175">
        <v>3</v>
      </c>
      <c r="N6" s="234" t="s">
        <v>362</v>
      </c>
      <c r="O6" s="175">
        <v>3</v>
      </c>
      <c r="T6" s="189">
        <v>2.5</v>
      </c>
      <c r="U6" s="84" t="s">
        <v>253</v>
      </c>
      <c r="V6" s="188">
        <v>2.5</v>
      </c>
      <c r="X6" s="113" t="s">
        <v>253</v>
      </c>
      <c r="Y6" s="84" t="s">
        <v>199</v>
      </c>
      <c r="Z6" s="84" t="s">
        <v>182</v>
      </c>
      <c r="AA6" s="84" t="s">
        <v>179</v>
      </c>
      <c r="AB6" s="160" t="s">
        <v>133</v>
      </c>
      <c r="AD6" s="159" t="s">
        <v>327</v>
      </c>
      <c r="AE6" s="185"/>
      <c r="AF6" s="158">
        <f>IF('R.Output_General Industries'!I65="-",0,VLOOKUP('R.Output_General Industries'!I65,'Reference Data_Refineries'!U6:V25,2,FALSE))</f>
        <v>12.5</v>
      </c>
    </row>
    <row r="7" spans="2:32" ht="15.75" thickBot="1" x14ac:dyDescent="0.3">
      <c r="B7" s="113" t="s">
        <v>326</v>
      </c>
      <c r="C7" s="160" t="s">
        <v>194</v>
      </c>
      <c r="E7" s="224">
        <v>50</v>
      </c>
      <c r="F7" s="175">
        <v>15</v>
      </c>
      <c r="H7" s="227">
        <v>2</v>
      </c>
      <c r="I7" s="177">
        <v>15</v>
      </c>
      <c r="K7" s="231">
        <v>175</v>
      </c>
      <c r="L7" s="175">
        <v>6</v>
      </c>
      <c r="N7" s="234" t="s">
        <v>363</v>
      </c>
      <c r="O7" s="175">
        <v>6</v>
      </c>
      <c r="T7" s="189">
        <v>3.5</v>
      </c>
      <c r="U7" s="84" t="s">
        <v>182</v>
      </c>
      <c r="V7" s="188">
        <v>3.5</v>
      </c>
      <c r="X7" s="113" t="s">
        <v>182</v>
      </c>
      <c r="Y7" s="84" t="s">
        <v>190</v>
      </c>
      <c r="Z7" s="84" t="s">
        <v>199</v>
      </c>
      <c r="AA7" s="84" t="s">
        <v>253</v>
      </c>
      <c r="AB7" s="160" t="s">
        <v>179</v>
      </c>
    </row>
    <row r="8" spans="2:32" ht="15.75" thickBot="1" x14ac:dyDescent="0.3">
      <c r="B8" s="113" t="s">
        <v>324</v>
      </c>
      <c r="C8" s="160" t="s">
        <v>291</v>
      </c>
      <c r="E8" s="210">
        <v>250</v>
      </c>
      <c r="F8" s="175">
        <v>12</v>
      </c>
      <c r="H8" s="227">
        <v>3</v>
      </c>
      <c r="I8" s="177">
        <v>12</v>
      </c>
      <c r="K8" s="231">
        <v>325</v>
      </c>
      <c r="L8" s="175">
        <v>9</v>
      </c>
      <c r="N8" s="234" t="s">
        <v>364</v>
      </c>
      <c r="O8" s="175">
        <v>9</v>
      </c>
      <c r="T8" s="189">
        <v>4.5</v>
      </c>
      <c r="U8" s="84" t="s">
        <v>199</v>
      </c>
      <c r="V8" s="188">
        <v>4.5</v>
      </c>
      <c r="X8" s="113" t="s">
        <v>199</v>
      </c>
      <c r="Y8" s="84" t="s">
        <v>229</v>
      </c>
      <c r="Z8" s="84" t="s">
        <v>190</v>
      </c>
      <c r="AA8" s="84" t="s">
        <v>182</v>
      </c>
      <c r="AB8" s="160" t="s">
        <v>253</v>
      </c>
      <c r="AF8" s="211" t="str">
        <f>IF(AF5&gt;AF6,"Yes","No")</f>
        <v>No</v>
      </c>
    </row>
    <row r="9" spans="2:32" x14ac:dyDescent="0.25">
      <c r="B9" s="113" t="s">
        <v>322</v>
      </c>
      <c r="C9" s="160" t="s">
        <v>194</v>
      </c>
      <c r="E9" s="210">
        <v>500</v>
      </c>
      <c r="F9" s="175">
        <v>9</v>
      </c>
      <c r="H9" s="227">
        <v>5</v>
      </c>
      <c r="I9" s="177">
        <v>9</v>
      </c>
      <c r="K9" s="231">
        <v>475</v>
      </c>
      <c r="L9" s="175">
        <v>12</v>
      </c>
      <c r="N9" s="234" t="s">
        <v>365</v>
      </c>
      <c r="O9" s="175">
        <v>12</v>
      </c>
      <c r="T9" s="189">
        <v>5.5</v>
      </c>
      <c r="U9" s="84" t="s">
        <v>190</v>
      </c>
      <c r="V9" s="188">
        <v>5.5</v>
      </c>
      <c r="X9" s="113" t="s">
        <v>190</v>
      </c>
      <c r="Y9" s="84" t="s">
        <v>214</v>
      </c>
      <c r="Z9" s="84" t="s">
        <v>229</v>
      </c>
      <c r="AA9" s="84" t="s">
        <v>199</v>
      </c>
      <c r="AB9" s="160" t="s">
        <v>182</v>
      </c>
    </row>
    <row r="10" spans="2:32" x14ac:dyDescent="0.25">
      <c r="B10" s="113" t="s">
        <v>319</v>
      </c>
      <c r="C10" s="160" t="s">
        <v>197</v>
      </c>
      <c r="E10" s="210">
        <v>1000</v>
      </c>
      <c r="F10" s="175">
        <v>6</v>
      </c>
      <c r="H10" s="227">
        <v>7</v>
      </c>
      <c r="I10" s="177">
        <v>6</v>
      </c>
      <c r="K10" s="231">
        <v>625</v>
      </c>
      <c r="L10" s="175">
        <v>15</v>
      </c>
      <c r="N10" s="234" t="s">
        <v>366</v>
      </c>
      <c r="O10" s="175">
        <v>15</v>
      </c>
      <c r="T10" s="189">
        <v>6.5</v>
      </c>
      <c r="U10" s="84" t="s">
        <v>229</v>
      </c>
      <c r="V10" s="188">
        <v>6.5</v>
      </c>
      <c r="X10" s="113" t="s">
        <v>229</v>
      </c>
      <c r="Y10" s="84" t="s">
        <v>188</v>
      </c>
      <c r="Z10" s="84" t="s">
        <v>214</v>
      </c>
      <c r="AA10" s="84" t="s">
        <v>190</v>
      </c>
      <c r="AB10" s="160" t="s">
        <v>199</v>
      </c>
    </row>
    <row r="11" spans="2:32" ht="15.75" thickBot="1" x14ac:dyDescent="0.3">
      <c r="B11" s="113" t="s">
        <v>316</v>
      </c>
      <c r="C11" s="160" t="s">
        <v>179</v>
      </c>
      <c r="E11" s="210">
        <v>2000</v>
      </c>
      <c r="F11" s="175">
        <v>3</v>
      </c>
      <c r="H11" s="227">
        <v>9</v>
      </c>
      <c r="I11" s="160">
        <v>3</v>
      </c>
      <c r="K11" s="232">
        <v>775</v>
      </c>
      <c r="L11" s="170">
        <v>18</v>
      </c>
      <c r="N11" s="235" t="s">
        <v>367</v>
      </c>
      <c r="O11" s="170">
        <v>18</v>
      </c>
      <c r="T11" s="189">
        <v>7.5</v>
      </c>
      <c r="U11" s="84" t="s">
        <v>214</v>
      </c>
      <c r="V11" s="188">
        <v>7.5</v>
      </c>
      <c r="X11" s="113" t="s">
        <v>214</v>
      </c>
      <c r="Y11" s="84" t="s">
        <v>197</v>
      </c>
      <c r="Z11" s="84" t="s">
        <v>188</v>
      </c>
      <c r="AA11" s="84" t="s">
        <v>229</v>
      </c>
      <c r="AB11" s="160" t="s">
        <v>190</v>
      </c>
    </row>
    <row r="12" spans="2:32" ht="15.75" thickBot="1" x14ac:dyDescent="0.3">
      <c r="B12" s="113" t="s">
        <v>314</v>
      </c>
      <c r="C12" s="160" t="s">
        <v>179</v>
      </c>
      <c r="E12" s="210">
        <v>3000</v>
      </c>
      <c r="F12" s="175">
        <v>1</v>
      </c>
      <c r="H12" s="229">
        <v>12</v>
      </c>
      <c r="I12" s="158">
        <v>1</v>
      </c>
      <c r="T12" s="189">
        <v>8.5</v>
      </c>
      <c r="U12" s="84" t="s">
        <v>188</v>
      </c>
      <c r="V12" s="188">
        <v>8.5</v>
      </c>
      <c r="X12" s="113" t="s">
        <v>188</v>
      </c>
      <c r="Y12" s="84" t="s">
        <v>177</v>
      </c>
      <c r="Z12" s="84" t="s">
        <v>197</v>
      </c>
      <c r="AA12" s="84" t="s">
        <v>214</v>
      </c>
      <c r="AB12" s="160" t="s">
        <v>229</v>
      </c>
    </row>
    <row r="13" spans="2:32" ht="15.75" thickBot="1" x14ac:dyDescent="0.3">
      <c r="B13" s="113" t="s">
        <v>312</v>
      </c>
      <c r="C13" s="160" t="s">
        <v>177</v>
      </c>
      <c r="E13" s="208"/>
      <c r="F13" s="158"/>
      <c r="H13" s="230"/>
      <c r="K13" s="357" t="str">
        <f>R.Output_Refineries!D32</f>
        <v>EBIT/Interest Expense</v>
      </c>
      <c r="L13" s="359"/>
      <c r="M13" s="190"/>
      <c r="T13" s="189">
        <v>9.5</v>
      </c>
      <c r="U13" s="84" t="s">
        <v>197</v>
      </c>
      <c r="V13" s="188">
        <v>9.5</v>
      </c>
      <c r="X13" s="113" t="s">
        <v>197</v>
      </c>
      <c r="Y13" s="84" t="s">
        <v>212</v>
      </c>
      <c r="Z13" s="84" t="s">
        <v>177</v>
      </c>
      <c r="AA13" s="84" t="s">
        <v>188</v>
      </c>
      <c r="AB13" s="160" t="s">
        <v>214</v>
      </c>
    </row>
    <row r="14" spans="2:32" ht="15.75" thickBot="1" x14ac:dyDescent="0.3">
      <c r="B14" s="113" t="s">
        <v>311</v>
      </c>
      <c r="C14" s="160" t="s">
        <v>197</v>
      </c>
      <c r="H14" s="230"/>
      <c r="K14" s="231">
        <v>0</v>
      </c>
      <c r="L14" s="191">
        <v>18</v>
      </c>
      <c r="T14" s="189">
        <v>10.5</v>
      </c>
      <c r="U14" s="84" t="s">
        <v>177</v>
      </c>
      <c r="V14" s="188">
        <v>10.5</v>
      </c>
      <c r="X14" s="113" t="s">
        <v>177</v>
      </c>
      <c r="Y14" s="84" t="s">
        <v>240</v>
      </c>
      <c r="Z14" s="84" t="s">
        <v>212</v>
      </c>
      <c r="AA14" s="84" t="s">
        <v>197</v>
      </c>
      <c r="AB14" s="160" t="s">
        <v>188</v>
      </c>
    </row>
    <row r="15" spans="2:32" ht="15.75" thickBot="1" x14ac:dyDescent="0.3">
      <c r="B15" s="113" t="s">
        <v>310</v>
      </c>
      <c r="C15" s="160" t="s">
        <v>182</v>
      </c>
      <c r="E15" s="357" t="str">
        <f>R.Output_Refineries!D17</f>
        <v>Complexity bbls (mbbls)</v>
      </c>
      <c r="F15" s="359"/>
      <c r="K15" s="231">
        <v>1</v>
      </c>
      <c r="L15" s="175">
        <v>15</v>
      </c>
      <c r="T15" s="189">
        <v>11.5</v>
      </c>
      <c r="U15" s="84" t="s">
        <v>212</v>
      </c>
      <c r="V15" s="188">
        <v>11.5</v>
      </c>
      <c r="X15" s="113" t="s">
        <v>212</v>
      </c>
      <c r="Y15" s="84" t="s">
        <v>194</v>
      </c>
      <c r="Z15" s="84" t="s">
        <v>240</v>
      </c>
      <c r="AA15" s="84" t="s">
        <v>177</v>
      </c>
      <c r="AB15" s="160" t="s">
        <v>197</v>
      </c>
    </row>
    <row r="16" spans="2:32" x14ac:dyDescent="0.25">
      <c r="B16" s="113" t="s">
        <v>307</v>
      </c>
      <c r="C16" s="160" t="s">
        <v>199</v>
      </c>
      <c r="E16" s="184" t="s">
        <v>154</v>
      </c>
      <c r="F16" s="180" t="s">
        <v>133</v>
      </c>
      <c r="K16" s="231">
        <v>2</v>
      </c>
      <c r="L16" s="175">
        <v>12</v>
      </c>
      <c r="T16" s="189">
        <v>12.5</v>
      </c>
      <c r="U16" s="84" t="s">
        <v>240</v>
      </c>
      <c r="V16" s="188">
        <v>12.5</v>
      </c>
      <c r="X16" s="113" t="s">
        <v>240</v>
      </c>
      <c r="Y16" s="84" t="s">
        <v>172</v>
      </c>
      <c r="Z16" s="84" t="s">
        <v>194</v>
      </c>
      <c r="AA16" s="84" t="s">
        <v>212</v>
      </c>
      <c r="AB16" s="160" t="s">
        <v>177</v>
      </c>
    </row>
    <row r="17" spans="2:28" x14ac:dyDescent="0.25">
      <c r="B17" s="113" t="s">
        <v>305</v>
      </c>
      <c r="C17" s="160" t="s">
        <v>194</v>
      </c>
      <c r="E17" s="227">
        <v>0</v>
      </c>
      <c r="F17" s="175">
        <v>18</v>
      </c>
      <c r="K17" s="231">
        <v>4</v>
      </c>
      <c r="L17" s="175">
        <v>9</v>
      </c>
      <c r="T17" s="189">
        <v>13.5</v>
      </c>
      <c r="U17" s="84" t="s">
        <v>194</v>
      </c>
      <c r="V17" s="188">
        <v>13.5</v>
      </c>
      <c r="X17" s="113" t="s">
        <v>194</v>
      </c>
      <c r="Y17" s="84" t="s">
        <v>175</v>
      </c>
      <c r="Z17" s="84" t="s">
        <v>172</v>
      </c>
      <c r="AA17" s="84" t="s">
        <v>240</v>
      </c>
      <c r="AB17" s="160" t="s">
        <v>212</v>
      </c>
    </row>
    <row r="18" spans="2:28" x14ac:dyDescent="0.25">
      <c r="B18" s="113" t="s">
        <v>302</v>
      </c>
      <c r="C18" s="160" t="s">
        <v>177</v>
      </c>
      <c r="E18" s="227">
        <v>500</v>
      </c>
      <c r="F18" s="175">
        <v>15</v>
      </c>
      <c r="K18" s="231">
        <v>10</v>
      </c>
      <c r="L18" s="175">
        <v>6</v>
      </c>
      <c r="T18" s="189">
        <v>14.5</v>
      </c>
      <c r="U18" s="84" t="s">
        <v>172</v>
      </c>
      <c r="V18" s="188">
        <v>14.5</v>
      </c>
      <c r="X18" s="113" t="s">
        <v>172</v>
      </c>
      <c r="Y18" s="84" t="s">
        <v>257</v>
      </c>
      <c r="Z18" s="84" t="s">
        <v>175</v>
      </c>
      <c r="AA18" s="84" t="s">
        <v>194</v>
      </c>
      <c r="AB18" s="160" t="s">
        <v>240</v>
      </c>
    </row>
    <row r="19" spans="2:28" x14ac:dyDescent="0.25">
      <c r="B19" s="113" t="s">
        <v>299</v>
      </c>
      <c r="C19" s="160" t="s">
        <v>177</v>
      </c>
      <c r="E19" s="227">
        <v>2000</v>
      </c>
      <c r="F19" s="175">
        <v>12</v>
      </c>
      <c r="K19" s="231">
        <v>20</v>
      </c>
      <c r="L19" s="175">
        <v>3</v>
      </c>
      <c r="T19" s="189">
        <v>15.5</v>
      </c>
      <c r="U19" s="84" t="s">
        <v>175</v>
      </c>
      <c r="V19" s="188">
        <v>15.5</v>
      </c>
      <c r="X19" s="113" t="s">
        <v>175</v>
      </c>
      <c r="Y19" s="84" t="s">
        <v>290</v>
      </c>
      <c r="Z19" s="84" t="s">
        <v>257</v>
      </c>
      <c r="AA19" s="84" t="s">
        <v>172</v>
      </c>
      <c r="AB19" s="160" t="s">
        <v>194</v>
      </c>
    </row>
    <row r="20" spans="2:28" ht="15.75" thickBot="1" x14ac:dyDescent="0.3">
      <c r="B20" s="113" t="s">
        <v>297</v>
      </c>
      <c r="C20" s="160" t="s">
        <v>175</v>
      </c>
      <c r="E20" s="227">
        <v>3500</v>
      </c>
      <c r="F20" s="175">
        <v>9</v>
      </c>
      <c r="K20" s="159">
        <v>30</v>
      </c>
      <c r="L20" s="170">
        <v>1</v>
      </c>
      <c r="T20" s="189">
        <v>16.5</v>
      </c>
      <c r="U20" s="84" t="s">
        <v>257</v>
      </c>
      <c r="V20" s="188">
        <v>16.5</v>
      </c>
      <c r="X20" s="113" t="s">
        <v>257</v>
      </c>
      <c r="Y20" s="84" t="s">
        <v>244</v>
      </c>
      <c r="Z20" s="84" t="s">
        <v>290</v>
      </c>
      <c r="AA20" s="84" t="s">
        <v>175</v>
      </c>
      <c r="AB20" s="160" t="s">
        <v>172</v>
      </c>
    </row>
    <row r="21" spans="2:28" ht="15.75" thickBot="1" x14ac:dyDescent="0.3">
      <c r="B21" s="113" t="s">
        <v>295</v>
      </c>
      <c r="C21" s="160" t="s">
        <v>179</v>
      </c>
      <c r="E21" s="227">
        <v>5000</v>
      </c>
      <c r="F21" s="175">
        <v>6</v>
      </c>
      <c r="T21" s="189">
        <v>17.5</v>
      </c>
      <c r="U21" s="84" t="s">
        <v>290</v>
      </c>
      <c r="V21" s="188">
        <v>17.5</v>
      </c>
      <c r="X21" s="113" t="s">
        <v>290</v>
      </c>
      <c r="Y21" s="84" t="s">
        <v>291</v>
      </c>
      <c r="Z21" s="84" t="s">
        <v>244</v>
      </c>
      <c r="AA21" s="84" t="s">
        <v>257</v>
      </c>
      <c r="AB21" s="160" t="s">
        <v>175</v>
      </c>
    </row>
    <row r="22" spans="2:28" ht="15.75" thickBot="1" x14ac:dyDescent="0.3">
      <c r="B22" s="113" t="s">
        <v>293</v>
      </c>
      <c r="C22" s="160" t="s">
        <v>172</v>
      </c>
      <c r="E22" s="227">
        <v>7500</v>
      </c>
      <c r="F22" s="175">
        <v>3</v>
      </c>
      <c r="K22" s="357" t="str">
        <f>R.Output_Refineries!D35</f>
        <v>RCF/Debt</v>
      </c>
      <c r="L22" s="359"/>
      <c r="T22" s="189">
        <v>18.5</v>
      </c>
      <c r="U22" s="84" t="s">
        <v>244</v>
      </c>
      <c r="V22" s="188">
        <v>18.5</v>
      </c>
      <c r="X22" s="113" t="s">
        <v>244</v>
      </c>
      <c r="Y22" s="84" t="s">
        <v>133</v>
      </c>
      <c r="Z22" s="84" t="s">
        <v>291</v>
      </c>
      <c r="AA22" s="84" t="s">
        <v>290</v>
      </c>
      <c r="AB22" s="160" t="s">
        <v>257</v>
      </c>
    </row>
    <row r="23" spans="2:28" ht="15.75" thickBot="1" x14ac:dyDescent="0.3">
      <c r="B23" s="113" t="s">
        <v>292</v>
      </c>
      <c r="C23" s="160" t="s">
        <v>190</v>
      </c>
      <c r="E23" s="229">
        <v>9000</v>
      </c>
      <c r="F23" s="170">
        <v>1</v>
      </c>
      <c r="K23" s="231">
        <v>-500000</v>
      </c>
      <c r="L23" s="191">
        <v>18</v>
      </c>
      <c r="T23" s="187">
        <v>19.5</v>
      </c>
      <c r="U23" s="185" t="s">
        <v>291</v>
      </c>
      <c r="V23" s="186">
        <v>19.5</v>
      </c>
      <c r="X23" s="159" t="s">
        <v>291</v>
      </c>
      <c r="Y23" s="185" t="s">
        <v>133</v>
      </c>
      <c r="Z23" s="185" t="s">
        <v>133</v>
      </c>
      <c r="AA23" s="185" t="s">
        <v>244</v>
      </c>
      <c r="AB23" s="158" t="s">
        <v>290</v>
      </c>
    </row>
    <row r="24" spans="2:28" ht="15.75" thickBot="1" x14ac:dyDescent="0.3">
      <c r="B24" s="113" t="s">
        <v>289</v>
      </c>
      <c r="C24" s="160" t="s">
        <v>190</v>
      </c>
      <c r="K24" s="231">
        <v>0</v>
      </c>
      <c r="L24" s="175">
        <v>15</v>
      </c>
    </row>
    <row r="25" spans="2:28" ht="15.75" thickBot="1" x14ac:dyDescent="0.3">
      <c r="B25" s="113" t="s">
        <v>288</v>
      </c>
      <c r="C25" s="160" t="s">
        <v>177</v>
      </c>
      <c r="E25" s="363" t="str">
        <f>R.Output_Refineries!D19</f>
        <v>Number of large-scale refineries</v>
      </c>
      <c r="F25" s="364"/>
      <c r="K25" s="231">
        <v>10</v>
      </c>
      <c r="L25" s="175">
        <v>12</v>
      </c>
      <c r="X25" s="361" t="s">
        <v>286</v>
      </c>
      <c r="Y25" s="362"/>
      <c r="AA25" s="182" t="s">
        <v>285</v>
      </c>
    </row>
    <row r="26" spans="2:28" x14ac:dyDescent="0.25">
      <c r="B26" s="113" t="s">
        <v>284</v>
      </c>
      <c r="C26" s="160" t="s">
        <v>172</v>
      </c>
      <c r="E26" s="113" t="s">
        <v>154</v>
      </c>
      <c r="F26" s="177" t="s">
        <v>133</v>
      </c>
      <c r="K26" s="231">
        <v>20</v>
      </c>
      <c r="L26" s="175">
        <v>9</v>
      </c>
      <c r="X26" s="181" t="s">
        <v>282</v>
      </c>
      <c r="Y26" s="180">
        <v>2</v>
      </c>
      <c r="AA26" s="179" t="s">
        <v>282</v>
      </c>
    </row>
    <row r="27" spans="2:28" x14ac:dyDescent="0.25">
      <c r="B27" s="113" t="s">
        <v>281</v>
      </c>
      <c r="C27" s="160" t="s">
        <v>212</v>
      </c>
      <c r="E27" s="227">
        <v>0</v>
      </c>
      <c r="F27" s="177">
        <v>18</v>
      </c>
      <c r="K27" s="231">
        <v>30</v>
      </c>
      <c r="L27" s="175">
        <v>6</v>
      </c>
      <c r="X27" s="174" t="s">
        <v>279</v>
      </c>
      <c r="Y27" s="160">
        <v>3</v>
      </c>
      <c r="AA27" s="178" t="s">
        <v>279</v>
      </c>
    </row>
    <row r="28" spans="2:28" x14ac:dyDescent="0.25">
      <c r="B28" s="113" t="s">
        <v>278</v>
      </c>
      <c r="C28" s="160" t="s">
        <v>212</v>
      </c>
      <c r="E28" s="227">
        <v>1</v>
      </c>
      <c r="F28" s="177">
        <v>15</v>
      </c>
      <c r="K28" s="231">
        <v>40</v>
      </c>
      <c r="L28" s="175">
        <v>3</v>
      </c>
      <c r="X28" s="174" t="s">
        <v>274</v>
      </c>
      <c r="Y28" s="160">
        <v>4</v>
      </c>
      <c r="AA28" s="173" t="s">
        <v>133</v>
      </c>
    </row>
    <row r="29" spans="2:28" ht="15.75" thickBot="1" x14ac:dyDescent="0.3">
      <c r="B29" s="113" t="s">
        <v>276</v>
      </c>
      <c r="C29" s="160" t="s">
        <v>257</v>
      </c>
      <c r="E29" s="227">
        <v>2</v>
      </c>
      <c r="F29" s="177">
        <v>12</v>
      </c>
      <c r="K29" s="159">
        <v>50</v>
      </c>
      <c r="L29" s="170">
        <v>1</v>
      </c>
      <c r="X29" s="169" t="s">
        <v>272</v>
      </c>
      <c r="Y29" s="158">
        <v>5</v>
      </c>
      <c r="AA29" s="168" t="s">
        <v>274</v>
      </c>
    </row>
    <row r="30" spans="2:28" ht="15.75" thickBot="1" x14ac:dyDescent="0.3">
      <c r="B30" s="113" t="s">
        <v>273</v>
      </c>
      <c r="C30" s="160" t="s">
        <v>190</v>
      </c>
      <c r="E30" s="227">
        <v>3</v>
      </c>
      <c r="F30" s="177">
        <v>9</v>
      </c>
      <c r="AA30" s="167" t="s">
        <v>272</v>
      </c>
    </row>
    <row r="31" spans="2:28" ht="15.75" thickBot="1" x14ac:dyDescent="0.3">
      <c r="B31" s="113" t="s">
        <v>271</v>
      </c>
      <c r="C31" s="160" t="s">
        <v>179</v>
      </c>
      <c r="E31" s="227">
        <v>6</v>
      </c>
      <c r="F31" s="177">
        <v>6</v>
      </c>
      <c r="X31" s="166" t="s">
        <v>270</v>
      </c>
      <c r="Y31" s="165" t="e">
        <f>VLOOKUP(R.Output_Refineries!I47,'Reference Data_Refineries'!X26:Y29,2,FALSE)</f>
        <v>#N/A</v>
      </c>
    </row>
    <row r="32" spans="2:28" x14ac:dyDescent="0.25">
      <c r="B32" s="113" t="s">
        <v>269</v>
      </c>
      <c r="C32" s="160" t="s">
        <v>175</v>
      </c>
      <c r="E32" s="224">
        <v>9</v>
      </c>
      <c r="F32" s="177">
        <v>3</v>
      </c>
    </row>
    <row r="33" spans="2:12" ht="15.75" thickBot="1" x14ac:dyDescent="0.3">
      <c r="B33" s="113" t="s">
        <v>268</v>
      </c>
      <c r="C33" s="160" t="s">
        <v>257</v>
      </c>
      <c r="E33" s="226">
        <v>15</v>
      </c>
      <c r="F33" s="172">
        <v>1</v>
      </c>
    </row>
    <row r="34" spans="2:12" x14ac:dyDescent="0.25">
      <c r="B34" s="113" t="s">
        <v>267</v>
      </c>
      <c r="C34" s="160" t="s">
        <v>177</v>
      </c>
      <c r="K34" s="164"/>
      <c r="L34" s="163"/>
    </row>
    <row r="35" spans="2:12" x14ac:dyDescent="0.25">
      <c r="B35" s="113" t="s">
        <v>266</v>
      </c>
      <c r="C35" s="160" t="s">
        <v>194</v>
      </c>
    </row>
    <row r="36" spans="2:12" x14ac:dyDescent="0.25">
      <c r="B36" s="113" t="s">
        <v>265</v>
      </c>
      <c r="C36" s="160" t="s">
        <v>190</v>
      </c>
    </row>
    <row r="37" spans="2:12" x14ac:dyDescent="0.25">
      <c r="B37" s="113" t="s">
        <v>264</v>
      </c>
      <c r="C37" s="160" t="s">
        <v>179</v>
      </c>
    </row>
    <row r="38" spans="2:12" x14ac:dyDescent="0.25">
      <c r="B38" s="113" t="s">
        <v>263</v>
      </c>
      <c r="C38" s="160" t="s">
        <v>253</v>
      </c>
    </row>
    <row r="39" spans="2:12" x14ac:dyDescent="0.25">
      <c r="B39" s="113" t="s">
        <v>262</v>
      </c>
      <c r="C39" s="160" t="s">
        <v>194</v>
      </c>
    </row>
    <row r="40" spans="2:12" x14ac:dyDescent="0.25">
      <c r="B40" s="113" t="s">
        <v>261</v>
      </c>
      <c r="C40" s="160" t="s">
        <v>194</v>
      </c>
    </row>
    <row r="41" spans="2:12" x14ac:dyDescent="0.25">
      <c r="B41" s="113" t="s">
        <v>260</v>
      </c>
      <c r="C41" s="160" t="s">
        <v>179</v>
      </c>
      <c r="E41" s="360"/>
      <c r="F41" s="360"/>
    </row>
    <row r="42" spans="2:12" x14ac:dyDescent="0.25">
      <c r="B42" s="113" t="s">
        <v>259</v>
      </c>
      <c r="C42" s="160" t="s">
        <v>175</v>
      </c>
      <c r="E42" s="161"/>
    </row>
    <row r="43" spans="2:12" x14ac:dyDescent="0.25">
      <c r="B43" s="113" t="s">
        <v>258</v>
      </c>
      <c r="C43" s="160" t="s">
        <v>257</v>
      </c>
      <c r="E43" s="161"/>
    </row>
    <row r="44" spans="2:12" x14ac:dyDescent="0.25">
      <c r="B44" s="113" t="s">
        <v>256</v>
      </c>
      <c r="C44" s="160" t="s">
        <v>212</v>
      </c>
      <c r="E44" s="162"/>
    </row>
    <row r="45" spans="2:12" x14ac:dyDescent="0.25">
      <c r="B45" s="113" t="s">
        <v>255</v>
      </c>
      <c r="C45" s="160" t="s">
        <v>229</v>
      </c>
      <c r="E45" s="161"/>
    </row>
    <row r="46" spans="2:12" x14ac:dyDescent="0.25">
      <c r="B46" s="113" t="s">
        <v>254</v>
      </c>
      <c r="C46" s="160" t="s">
        <v>253</v>
      </c>
      <c r="E46" s="161"/>
    </row>
    <row r="47" spans="2:12" x14ac:dyDescent="0.25">
      <c r="B47" s="113" t="s">
        <v>252</v>
      </c>
      <c r="C47" s="160" t="s">
        <v>212</v>
      </c>
    </row>
    <row r="48" spans="2:12" x14ac:dyDescent="0.25">
      <c r="B48" s="113" t="s">
        <v>251</v>
      </c>
      <c r="C48" s="160" t="s">
        <v>197</v>
      </c>
    </row>
    <row r="49" spans="2:3" x14ac:dyDescent="0.25">
      <c r="B49" s="113" t="s">
        <v>250</v>
      </c>
      <c r="C49" s="160" t="s">
        <v>177</v>
      </c>
    </row>
    <row r="50" spans="2:3" x14ac:dyDescent="0.25">
      <c r="B50" s="113" t="s">
        <v>249</v>
      </c>
      <c r="C50" s="160" t="s">
        <v>177</v>
      </c>
    </row>
    <row r="51" spans="2:3" x14ac:dyDescent="0.25">
      <c r="B51" s="113" t="s">
        <v>248</v>
      </c>
      <c r="C51" s="160" t="s">
        <v>188</v>
      </c>
    </row>
    <row r="52" spans="2:3" x14ac:dyDescent="0.25">
      <c r="B52" s="113" t="s">
        <v>247</v>
      </c>
      <c r="C52" s="160" t="s">
        <v>229</v>
      </c>
    </row>
    <row r="53" spans="2:3" x14ac:dyDescent="0.25">
      <c r="B53" s="113" t="s">
        <v>246</v>
      </c>
      <c r="C53" s="160" t="s">
        <v>188</v>
      </c>
    </row>
    <row r="54" spans="2:3" x14ac:dyDescent="0.25">
      <c r="B54" s="113" t="s">
        <v>245</v>
      </c>
      <c r="C54" s="160" t="s">
        <v>244</v>
      </c>
    </row>
    <row r="55" spans="2:3" x14ac:dyDescent="0.25">
      <c r="B55" s="113" t="s">
        <v>243</v>
      </c>
      <c r="C55" s="160" t="s">
        <v>190</v>
      </c>
    </row>
    <row r="56" spans="2:3" x14ac:dyDescent="0.25">
      <c r="B56" s="113" t="s">
        <v>242</v>
      </c>
      <c r="C56" s="160" t="s">
        <v>188</v>
      </c>
    </row>
    <row r="57" spans="2:3" x14ac:dyDescent="0.25">
      <c r="B57" s="113" t="s">
        <v>241</v>
      </c>
      <c r="C57" s="160" t="s">
        <v>240</v>
      </c>
    </row>
    <row r="58" spans="2:3" x14ac:dyDescent="0.25">
      <c r="B58" s="113" t="s">
        <v>239</v>
      </c>
      <c r="C58" s="160" t="s">
        <v>182</v>
      </c>
    </row>
    <row r="59" spans="2:3" x14ac:dyDescent="0.25">
      <c r="B59" s="113" t="s">
        <v>238</v>
      </c>
      <c r="C59" s="160" t="s">
        <v>188</v>
      </c>
    </row>
    <row r="60" spans="2:3" x14ac:dyDescent="0.25">
      <c r="B60" s="113" t="s">
        <v>237</v>
      </c>
      <c r="C60" s="160" t="s">
        <v>175</v>
      </c>
    </row>
    <row r="61" spans="2:3" x14ac:dyDescent="0.25">
      <c r="B61" s="113" t="s">
        <v>236</v>
      </c>
      <c r="C61" s="160" t="s">
        <v>194</v>
      </c>
    </row>
    <row r="62" spans="2:3" x14ac:dyDescent="0.25">
      <c r="B62" s="113" t="s">
        <v>235</v>
      </c>
      <c r="C62" s="160" t="s">
        <v>188</v>
      </c>
    </row>
    <row r="63" spans="2:3" x14ac:dyDescent="0.25">
      <c r="B63" s="113" t="s">
        <v>234</v>
      </c>
      <c r="C63" s="160" t="s">
        <v>179</v>
      </c>
    </row>
    <row r="64" spans="2:3" x14ac:dyDescent="0.25">
      <c r="B64" s="113" t="s">
        <v>233</v>
      </c>
      <c r="C64" s="160" t="s">
        <v>199</v>
      </c>
    </row>
    <row r="65" spans="2:3" x14ac:dyDescent="0.25">
      <c r="B65" s="113" t="s">
        <v>232</v>
      </c>
      <c r="C65" s="160" t="s">
        <v>212</v>
      </c>
    </row>
    <row r="66" spans="2:3" x14ac:dyDescent="0.25">
      <c r="B66" s="113" t="s">
        <v>231</v>
      </c>
      <c r="C66" s="160" t="s">
        <v>214</v>
      </c>
    </row>
    <row r="67" spans="2:3" x14ac:dyDescent="0.25">
      <c r="B67" s="113" t="s">
        <v>230</v>
      </c>
      <c r="C67" s="160" t="s">
        <v>229</v>
      </c>
    </row>
    <row r="68" spans="2:3" x14ac:dyDescent="0.25">
      <c r="B68" s="113" t="s">
        <v>228</v>
      </c>
      <c r="C68" s="160" t="s">
        <v>188</v>
      </c>
    </row>
    <row r="69" spans="2:3" x14ac:dyDescent="0.25">
      <c r="B69" s="113" t="s">
        <v>227</v>
      </c>
      <c r="C69" s="160" t="s">
        <v>172</v>
      </c>
    </row>
    <row r="70" spans="2:3" x14ac:dyDescent="0.25">
      <c r="B70" s="113" t="s">
        <v>226</v>
      </c>
      <c r="C70" s="160" t="s">
        <v>177</v>
      </c>
    </row>
    <row r="71" spans="2:3" x14ac:dyDescent="0.25">
      <c r="B71" s="113" t="s">
        <v>225</v>
      </c>
      <c r="C71" s="160" t="s">
        <v>172</v>
      </c>
    </row>
    <row r="72" spans="2:3" x14ac:dyDescent="0.25">
      <c r="B72" s="113" t="s">
        <v>224</v>
      </c>
      <c r="C72" s="160" t="s">
        <v>177</v>
      </c>
    </row>
    <row r="73" spans="2:3" x14ac:dyDescent="0.25">
      <c r="B73" s="113" t="s">
        <v>223</v>
      </c>
      <c r="C73" s="160" t="s">
        <v>179</v>
      </c>
    </row>
    <row r="74" spans="2:3" x14ac:dyDescent="0.25">
      <c r="B74" s="113" t="s">
        <v>222</v>
      </c>
      <c r="C74" s="160" t="s">
        <v>182</v>
      </c>
    </row>
    <row r="75" spans="2:3" x14ac:dyDescent="0.25">
      <c r="B75" s="113" t="s">
        <v>221</v>
      </c>
      <c r="C75" s="160" t="s">
        <v>194</v>
      </c>
    </row>
    <row r="76" spans="2:3" x14ac:dyDescent="0.25">
      <c r="B76" s="113" t="s">
        <v>220</v>
      </c>
      <c r="C76" s="160" t="s">
        <v>179</v>
      </c>
    </row>
    <row r="77" spans="2:3" x14ac:dyDescent="0.25">
      <c r="B77" s="113" t="s">
        <v>219</v>
      </c>
      <c r="C77" s="160" t="s">
        <v>197</v>
      </c>
    </row>
    <row r="78" spans="2:3" x14ac:dyDescent="0.25">
      <c r="B78" s="113" t="s">
        <v>218</v>
      </c>
      <c r="C78" s="160" t="s">
        <v>194</v>
      </c>
    </row>
    <row r="79" spans="2:3" x14ac:dyDescent="0.25">
      <c r="B79" s="113" t="s">
        <v>217</v>
      </c>
      <c r="C79" s="160" t="s">
        <v>197</v>
      </c>
    </row>
    <row r="80" spans="2:3" x14ac:dyDescent="0.25">
      <c r="B80" s="113" t="s">
        <v>216</v>
      </c>
      <c r="C80" s="160" t="s">
        <v>179</v>
      </c>
    </row>
    <row r="81" spans="2:3" x14ac:dyDescent="0.25">
      <c r="B81" s="113" t="s">
        <v>215</v>
      </c>
      <c r="C81" s="160" t="s">
        <v>214</v>
      </c>
    </row>
    <row r="82" spans="2:3" x14ac:dyDescent="0.25">
      <c r="B82" s="113" t="s">
        <v>213</v>
      </c>
      <c r="C82" s="160" t="s">
        <v>212</v>
      </c>
    </row>
    <row r="83" spans="2:3" x14ac:dyDescent="0.25">
      <c r="B83" s="113" t="s">
        <v>211</v>
      </c>
      <c r="C83" s="160" t="s">
        <v>177</v>
      </c>
    </row>
    <row r="84" spans="2:3" x14ac:dyDescent="0.25">
      <c r="B84" s="113" t="s">
        <v>210</v>
      </c>
      <c r="C84" s="160" t="s">
        <v>197</v>
      </c>
    </row>
    <row r="85" spans="2:3" x14ac:dyDescent="0.25">
      <c r="B85" s="113" t="s">
        <v>209</v>
      </c>
      <c r="C85" s="160" t="s">
        <v>175</v>
      </c>
    </row>
    <row r="86" spans="2:3" x14ac:dyDescent="0.25">
      <c r="B86" s="113" t="s">
        <v>208</v>
      </c>
      <c r="C86" s="160" t="s">
        <v>188</v>
      </c>
    </row>
    <row r="87" spans="2:3" x14ac:dyDescent="0.25">
      <c r="B87" s="113" t="s">
        <v>207</v>
      </c>
      <c r="C87" s="160" t="s">
        <v>199</v>
      </c>
    </row>
    <row r="88" spans="2:3" x14ac:dyDescent="0.25">
      <c r="B88" s="113" t="s">
        <v>206</v>
      </c>
      <c r="C88" s="160" t="s">
        <v>194</v>
      </c>
    </row>
    <row r="89" spans="2:3" x14ac:dyDescent="0.25">
      <c r="B89" s="113" t="s">
        <v>205</v>
      </c>
      <c r="C89" s="160" t="s">
        <v>175</v>
      </c>
    </row>
    <row r="90" spans="2:3" x14ac:dyDescent="0.25">
      <c r="B90" s="113" t="s">
        <v>204</v>
      </c>
      <c r="C90" s="160" t="s">
        <v>179</v>
      </c>
    </row>
    <row r="91" spans="2:3" x14ac:dyDescent="0.25">
      <c r="B91" s="113" t="s">
        <v>203</v>
      </c>
      <c r="C91" s="160" t="s">
        <v>190</v>
      </c>
    </row>
    <row r="92" spans="2:3" x14ac:dyDescent="0.25">
      <c r="B92" s="113" t="s">
        <v>202</v>
      </c>
      <c r="C92" s="160" t="s">
        <v>188</v>
      </c>
    </row>
    <row r="93" spans="2:3" x14ac:dyDescent="0.25">
      <c r="B93" s="113" t="s">
        <v>201</v>
      </c>
      <c r="C93" s="160" t="s">
        <v>197</v>
      </c>
    </row>
    <row r="94" spans="2:3" x14ac:dyDescent="0.25">
      <c r="B94" s="113" t="s">
        <v>200</v>
      </c>
      <c r="C94" s="160" t="s">
        <v>199</v>
      </c>
    </row>
    <row r="95" spans="2:3" x14ac:dyDescent="0.25">
      <c r="B95" s="113" t="s">
        <v>198</v>
      </c>
      <c r="C95" s="160" t="s">
        <v>197</v>
      </c>
    </row>
    <row r="96" spans="2:3" x14ac:dyDescent="0.25">
      <c r="B96" s="113" t="s">
        <v>196</v>
      </c>
      <c r="C96" s="160" t="s">
        <v>194</v>
      </c>
    </row>
    <row r="97" spans="2:3" x14ac:dyDescent="0.25">
      <c r="B97" s="113" t="s">
        <v>195</v>
      </c>
      <c r="C97" s="160" t="s">
        <v>194</v>
      </c>
    </row>
    <row r="98" spans="2:3" x14ac:dyDescent="0.25">
      <c r="B98" s="113" t="s">
        <v>193</v>
      </c>
      <c r="C98" s="160" t="s">
        <v>179</v>
      </c>
    </row>
    <row r="99" spans="2:3" x14ac:dyDescent="0.25">
      <c r="B99" s="113" t="s">
        <v>192</v>
      </c>
      <c r="C99" s="160" t="s">
        <v>179</v>
      </c>
    </row>
    <row r="100" spans="2:3" x14ac:dyDescent="0.25">
      <c r="B100" s="113" t="s">
        <v>191</v>
      </c>
      <c r="C100" s="160" t="s">
        <v>190</v>
      </c>
    </row>
    <row r="101" spans="2:3" x14ac:dyDescent="0.25">
      <c r="B101" s="113" t="s">
        <v>189</v>
      </c>
      <c r="C101" s="160" t="s">
        <v>188</v>
      </c>
    </row>
    <row r="102" spans="2:3" x14ac:dyDescent="0.25">
      <c r="B102" s="113" t="s">
        <v>187</v>
      </c>
      <c r="C102" s="160" t="s">
        <v>179</v>
      </c>
    </row>
    <row r="103" spans="2:3" x14ac:dyDescent="0.25">
      <c r="B103" s="113" t="s">
        <v>186</v>
      </c>
      <c r="C103" s="160" t="s">
        <v>177</v>
      </c>
    </row>
    <row r="104" spans="2:3" x14ac:dyDescent="0.25">
      <c r="B104" s="113" t="s">
        <v>185</v>
      </c>
      <c r="C104" s="160" t="s">
        <v>175</v>
      </c>
    </row>
    <row r="105" spans="2:3" x14ac:dyDescent="0.25">
      <c r="B105" s="113" t="s">
        <v>184</v>
      </c>
      <c r="C105" s="160" t="s">
        <v>175</v>
      </c>
    </row>
    <row r="106" spans="2:3" x14ac:dyDescent="0.25">
      <c r="B106" s="113" t="s">
        <v>183</v>
      </c>
      <c r="C106" s="160" t="s">
        <v>182</v>
      </c>
    </row>
    <row r="107" spans="2:3" x14ac:dyDescent="0.25">
      <c r="B107" s="113" t="s">
        <v>181</v>
      </c>
      <c r="C107" s="160" t="s">
        <v>179</v>
      </c>
    </row>
    <row r="108" spans="2:3" x14ac:dyDescent="0.25">
      <c r="B108" s="113" t="s">
        <v>180</v>
      </c>
      <c r="C108" s="160" t="s">
        <v>179</v>
      </c>
    </row>
    <row r="109" spans="2:3" x14ac:dyDescent="0.25">
      <c r="B109" s="113" t="s">
        <v>178</v>
      </c>
      <c r="C109" s="160" t="s">
        <v>177</v>
      </c>
    </row>
    <row r="110" spans="2:3" x14ac:dyDescent="0.25">
      <c r="B110" s="113" t="s">
        <v>176</v>
      </c>
      <c r="C110" s="160" t="s">
        <v>175</v>
      </c>
    </row>
    <row r="111" spans="2:3" x14ac:dyDescent="0.25">
      <c r="B111" s="113" t="s">
        <v>174</v>
      </c>
      <c r="C111" s="160" t="s">
        <v>172</v>
      </c>
    </row>
    <row r="112" spans="2:3" ht="15.75" thickBot="1" x14ac:dyDescent="0.3">
      <c r="B112" s="159" t="s">
        <v>173</v>
      </c>
      <c r="C112" s="158" t="s">
        <v>172</v>
      </c>
    </row>
  </sheetData>
  <sortState ref="K14:L20">
    <sortCondition ref="K14"/>
  </sortState>
  <mergeCells count="22">
    <mergeCell ref="E25:F25"/>
    <mergeCell ref="X25:Y25"/>
    <mergeCell ref="E41:F41"/>
    <mergeCell ref="K22:L22"/>
    <mergeCell ref="AD4:AF4"/>
    <mergeCell ref="E15:F15"/>
    <mergeCell ref="K13:L13"/>
    <mergeCell ref="T2:V2"/>
    <mergeCell ref="X2:AB2"/>
    <mergeCell ref="AD2:AF2"/>
    <mergeCell ref="U3:V3"/>
    <mergeCell ref="B4:C4"/>
    <mergeCell ref="E4:F4"/>
    <mergeCell ref="H4:I4"/>
    <mergeCell ref="K4:L4"/>
    <mergeCell ref="N4:O4"/>
    <mergeCell ref="B2:C2"/>
    <mergeCell ref="E2:F2"/>
    <mergeCell ref="H2:I2"/>
    <mergeCell ref="K2:L2"/>
    <mergeCell ref="N2:O2"/>
    <mergeCell ref="Q2:R2"/>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A112"/>
  <sheetViews>
    <sheetView showGridLines="0" topLeftCell="F1" workbookViewId="0">
      <selection activeCell="N41" sqref="N41"/>
    </sheetView>
  </sheetViews>
  <sheetFormatPr defaultRowHeight="15" x14ac:dyDescent="0.25"/>
  <cols>
    <col min="2" max="2" width="20" bestFit="1" customWidth="1"/>
    <col min="3" max="3" width="8.85546875" bestFit="1" customWidth="1"/>
    <col min="5" max="5" width="45.42578125" customWidth="1"/>
    <col min="6" max="6" width="12.85546875" customWidth="1"/>
    <col min="8" max="8" width="22.85546875" bestFit="1" customWidth="1"/>
    <col min="9" max="9" width="9.42578125" customWidth="1"/>
    <col min="11" max="11" width="17.42578125" customWidth="1"/>
    <col min="12" max="12" width="11.7109375" customWidth="1"/>
    <col min="14" max="14" width="9.7109375" customWidth="1"/>
  </cols>
  <sheetData>
    <row r="2" spans="2:27" x14ac:dyDescent="0.25">
      <c r="B2" s="360" t="s">
        <v>165</v>
      </c>
      <c r="C2" s="360"/>
      <c r="E2" s="360" t="str">
        <f>'Reference Data_Refineries'!E2:F2</f>
        <v>FACTOR 1:  SIZE AND SCALE (35%)</v>
      </c>
      <c r="F2" s="360"/>
      <c r="H2" s="360" t="str">
        <f>'R.Output_Commodity traders'!C24</f>
        <v>FACTOR 2:  SCALE (15%)</v>
      </c>
      <c r="I2" s="360"/>
      <c r="K2" s="360" t="str">
        <f>'R.Output_Commodity traders'!C31</f>
        <v>FACTOR 3:  LEVERAGE (20%)</v>
      </c>
      <c r="L2" s="360"/>
      <c r="O2" s="360" t="s">
        <v>341</v>
      </c>
      <c r="P2" s="360"/>
      <c r="Q2" s="360"/>
      <c r="S2" s="360" t="s">
        <v>340</v>
      </c>
      <c r="T2" s="360"/>
      <c r="U2" s="360"/>
      <c r="V2" s="360"/>
      <c r="W2" s="360"/>
      <c r="Y2" s="360" t="s">
        <v>339</v>
      </c>
      <c r="Z2" s="360"/>
      <c r="AA2" s="360"/>
    </row>
    <row r="3" spans="2:27" ht="15.75" thickBot="1" x14ac:dyDescent="0.3">
      <c r="P3" s="360"/>
      <c r="Q3" s="360"/>
    </row>
    <row r="4" spans="2:27" ht="15.75" thickBot="1" x14ac:dyDescent="0.3">
      <c r="B4" s="357" t="s">
        <v>338</v>
      </c>
      <c r="C4" s="359"/>
      <c r="E4" s="363" t="str">
        <f>'R.Output_Commodity traders'!D15</f>
        <v>Reliance on Merchandising</v>
      </c>
      <c r="F4" s="364"/>
      <c r="H4" s="357" t="str">
        <f>'R.Output_Commodity traders'!D26</f>
        <v>Revenues</v>
      </c>
      <c r="I4" s="359"/>
      <c r="K4" s="363" t="str">
        <f>'R.Output_Commodity traders'!D33</f>
        <v>Net Debt/EBITDA</v>
      </c>
      <c r="L4" s="364"/>
      <c r="M4" s="190"/>
      <c r="N4" s="190"/>
      <c r="O4" s="251" t="s">
        <v>333</v>
      </c>
      <c r="P4" s="252" t="s">
        <v>334</v>
      </c>
      <c r="Q4" s="253" t="s">
        <v>333</v>
      </c>
      <c r="S4" s="254"/>
      <c r="T4" s="219">
        <v>-2</v>
      </c>
      <c r="U4" s="219">
        <v>-1</v>
      </c>
      <c r="V4" s="219">
        <v>1</v>
      </c>
      <c r="W4" s="255">
        <v>2</v>
      </c>
      <c r="Y4" s="357" t="s">
        <v>332</v>
      </c>
      <c r="Z4" s="358"/>
      <c r="AA4" s="359"/>
    </row>
    <row r="5" spans="2:27" x14ac:dyDescent="0.25">
      <c r="B5" s="184" t="s">
        <v>331</v>
      </c>
      <c r="C5" s="180" t="s">
        <v>330</v>
      </c>
      <c r="E5" s="262" t="s">
        <v>154</v>
      </c>
      <c r="F5" s="269" t="s">
        <v>133</v>
      </c>
      <c r="H5" s="184" t="s">
        <v>154</v>
      </c>
      <c r="I5" s="270" t="s">
        <v>133</v>
      </c>
      <c r="K5" s="272" t="s">
        <v>154</v>
      </c>
      <c r="L5" s="269" t="s">
        <v>133</v>
      </c>
      <c r="O5" s="215">
        <v>1.5</v>
      </c>
      <c r="P5" s="213" t="s">
        <v>179</v>
      </c>
      <c r="Q5" s="214">
        <v>1.5</v>
      </c>
      <c r="S5" s="184" t="s">
        <v>179</v>
      </c>
      <c r="T5" s="213" t="s">
        <v>182</v>
      </c>
      <c r="U5" s="213" t="s">
        <v>253</v>
      </c>
      <c r="V5" s="213" t="s">
        <v>133</v>
      </c>
      <c r="W5" s="180" t="s">
        <v>133</v>
      </c>
      <c r="Y5" s="184" t="s">
        <v>329</v>
      </c>
      <c r="Z5" s="213"/>
      <c r="AA5" s="180">
        <f>IF('R.Output_General Industries'!G11="-",0,VLOOKUP('R.Output_General Industries'!G11,'Reference Data_Comm. traders'!P5:Q24,2,FALSE))</f>
        <v>8.5</v>
      </c>
    </row>
    <row r="6" spans="2:27" ht="15.75" thickBot="1" x14ac:dyDescent="0.3">
      <c r="B6" s="113" t="s">
        <v>154</v>
      </c>
      <c r="C6" s="160" t="s">
        <v>133</v>
      </c>
      <c r="E6" s="262" t="s">
        <v>429</v>
      </c>
      <c r="F6" s="188">
        <v>1.5</v>
      </c>
      <c r="H6" s="267">
        <v>0</v>
      </c>
      <c r="I6" s="188">
        <v>20</v>
      </c>
      <c r="K6" s="274">
        <v>-5000</v>
      </c>
      <c r="L6" s="188">
        <v>1.5</v>
      </c>
      <c r="O6" s="189">
        <v>2.5</v>
      </c>
      <c r="P6" s="84" t="s">
        <v>253</v>
      </c>
      <c r="Q6" s="188">
        <v>2.5</v>
      </c>
      <c r="S6" s="113" t="s">
        <v>253</v>
      </c>
      <c r="T6" s="84" t="s">
        <v>199</v>
      </c>
      <c r="U6" s="84" t="s">
        <v>182</v>
      </c>
      <c r="V6" s="84" t="s">
        <v>179</v>
      </c>
      <c r="W6" s="160" t="s">
        <v>133</v>
      </c>
      <c r="Y6" s="159" t="s">
        <v>327</v>
      </c>
      <c r="Z6" s="185"/>
      <c r="AA6" s="158">
        <f>IF('R.Output_General Industries'!I65="-",0,VLOOKUP('R.Output_General Industries'!I65,'Reference Data_Comm. traders'!P6:Q25,2,FALSE))</f>
        <v>12.5</v>
      </c>
    </row>
    <row r="7" spans="2:27" ht="15.75" thickBot="1" x14ac:dyDescent="0.3">
      <c r="B7" s="113" t="s">
        <v>326</v>
      </c>
      <c r="C7" s="160" t="s">
        <v>194</v>
      </c>
      <c r="E7" s="262" t="s">
        <v>430</v>
      </c>
      <c r="F7" s="188">
        <v>3.5</v>
      </c>
      <c r="H7" s="267">
        <v>500</v>
      </c>
      <c r="I7" s="188">
        <v>18.5</v>
      </c>
      <c r="K7" s="274">
        <v>0.5</v>
      </c>
      <c r="L7" s="188">
        <v>3.5</v>
      </c>
      <c r="O7" s="189">
        <v>3.5</v>
      </c>
      <c r="P7" s="84" t="s">
        <v>182</v>
      </c>
      <c r="Q7" s="188">
        <v>3.5</v>
      </c>
      <c r="S7" s="113" t="s">
        <v>182</v>
      </c>
      <c r="T7" s="84" t="s">
        <v>190</v>
      </c>
      <c r="U7" s="84" t="s">
        <v>199</v>
      </c>
      <c r="V7" s="84" t="s">
        <v>253</v>
      </c>
      <c r="W7" s="160" t="s">
        <v>179</v>
      </c>
    </row>
    <row r="8" spans="2:27" ht="15.75" thickBot="1" x14ac:dyDescent="0.3">
      <c r="B8" s="113" t="s">
        <v>324</v>
      </c>
      <c r="C8" s="160" t="s">
        <v>291</v>
      </c>
      <c r="E8" s="262" t="s">
        <v>431</v>
      </c>
      <c r="F8" s="188">
        <v>6.5</v>
      </c>
      <c r="H8" s="267">
        <v>1000</v>
      </c>
      <c r="I8" s="188">
        <v>15.5</v>
      </c>
      <c r="K8" s="274">
        <v>1</v>
      </c>
      <c r="L8" s="188">
        <v>6.5</v>
      </c>
      <c r="O8" s="189">
        <v>4.5</v>
      </c>
      <c r="P8" s="84" t="s">
        <v>199</v>
      </c>
      <c r="Q8" s="188">
        <v>4.5</v>
      </c>
      <c r="S8" s="113" t="s">
        <v>199</v>
      </c>
      <c r="T8" s="84" t="s">
        <v>229</v>
      </c>
      <c r="U8" s="84" t="s">
        <v>190</v>
      </c>
      <c r="V8" s="84" t="s">
        <v>182</v>
      </c>
      <c r="W8" s="160" t="s">
        <v>253</v>
      </c>
      <c r="AA8" s="211" t="str">
        <f>IF(AA5&gt;AA6,"Yes","No")</f>
        <v>No</v>
      </c>
    </row>
    <row r="9" spans="2:27" x14ac:dyDescent="0.25">
      <c r="B9" s="113" t="s">
        <v>322</v>
      </c>
      <c r="C9" s="160" t="s">
        <v>194</v>
      </c>
      <c r="E9" s="262" t="s">
        <v>432</v>
      </c>
      <c r="F9" s="188">
        <v>9.5</v>
      </c>
      <c r="H9" s="266">
        <v>10000</v>
      </c>
      <c r="I9" s="188">
        <v>12.5</v>
      </c>
      <c r="K9" s="274">
        <v>2</v>
      </c>
      <c r="L9" s="188">
        <v>9.5</v>
      </c>
      <c r="O9" s="189">
        <v>5.5</v>
      </c>
      <c r="P9" s="84" t="s">
        <v>190</v>
      </c>
      <c r="Q9" s="188">
        <v>5.5</v>
      </c>
      <c r="S9" s="113" t="s">
        <v>190</v>
      </c>
      <c r="T9" s="84" t="s">
        <v>214</v>
      </c>
      <c r="U9" s="84" t="s">
        <v>229</v>
      </c>
      <c r="V9" s="84" t="s">
        <v>199</v>
      </c>
      <c r="W9" s="160" t="s">
        <v>182</v>
      </c>
    </row>
    <row r="10" spans="2:27" x14ac:dyDescent="0.25">
      <c r="B10" s="113" t="s">
        <v>319</v>
      </c>
      <c r="C10" s="160" t="s">
        <v>197</v>
      </c>
      <c r="E10" s="262" t="s">
        <v>433</v>
      </c>
      <c r="F10" s="188">
        <v>12.5</v>
      </c>
      <c r="H10" s="266">
        <v>20000</v>
      </c>
      <c r="I10" s="188">
        <v>9.5</v>
      </c>
      <c r="K10" s="274">
        <v>3</v>
      </c>
      <c r="L10" s="188">
        <v>12.5</v>
      </c>
      <c r="O10" s="189">
        <v>6.5</v>
      </c>
      <c r="P10" s="84" t="s">
        <v>229</v>
      </c>
      <c r="Q10" s="188">
        <v>6.5</v>
      </c>
      <c r="S10" s="113" t="s">
        <v>229</v>
      </c>
      <c r="T10" s="84" t="s">
        <v>188</v>
      </c>
      <c r="U10" s="84" t="s">
        <v>214</v>
      </c>
      <c r="V10" s="84" t="s">
        <v>190</v>
      </c>
      <c r="W10" s="160" t="s">
        <v>199</v>
      </c>
    </row>
    <row r="11" spans="2:27" x14ac:dyDescent="0.25">
      <c r="B11" s="113" t="s">
        <v>316</v>
      </c>
      <c r="C11" s="160" t="s">
        <v>179</v>
      </c>
      <c r="E11" s="262" t="s">
        <v>434</v>
      </c>
      <c r="F11" s="188">
        <v>15.5</v>
      </c>
      <c r="H11" s="266">
        <v>75000</v>
      </c>
      <c r="I11" s="188">
        <v>6.5</v>
      </c>
      <c r="K11" s="274">
        <v>4</v>
      </c>
      <c r="L11" s="188">
        <v>15.5</v>
      </c>
      <c r="O11" s="189">
        <v>7.5</v>
      </c>
      <c r="P11" s="84" t="s">
        <v>214</v>
      </c>
      <c r="Q11" s="188">
        <v>7.5</v>
      </c>
      <c r="S11" s="113" t="s">
        <v>214</v>
      </c>
      <c r="T11" s="84" t="s">
        <v>197</v>
      </c>
      <c r="U11" s="84" t="s">
        <v>188</v>
      </c>
      <c r="V11" s="84" t="s">
        <v>229</v>
      </c>
      <c r="W11" s="160" t="s">
        <v>190</v>
      </c>
    </row>
    <row r="12" spans="2:27" x14ac:dyDescent="0.25">
      <c r="B12" s="113" t="s">
        <v>314</v>
      </c>
      <c r="C12" s="160" t="s">
        <v>179</v>
      </c>
      <c r="E12" s="262" t="s">
        <v>435</v>
      </c>
      <c r="F12" s="188">
        <v>18.5</v>
      </c>
      <c r="H12" s="266">
        <v>250000</v>
      </c>
      <c r="I12" s="188">
        <v>3.5</v>
      </c>
      <c r="K12" s="262">
        <v>6</v>
      </c>
      <c r="L12" s="188">
        <v>18.5</v>
      </c>
      <c r="O12" s="189">
        <v>8.5</v>
      </c>
      <c r="P12" s="84" t="s">
        <v>188</v>
      </c>
      <c r="Q12" s="188">
        <v>8.5</v>
      </c>
      <c r="S12" s="113" t="s">
        <v>188</v>
      </c>
      <c r="T12" s="84" t="s">
        <v>177</v>
      </c>
      <c r="U12" s="84" t="s">
        <v>197</v>
      </c>
      <c r="V12" s="84" t="s">
        <v>214</v>
      </c>
      <c r="W12" s="160" t="s">
        <v>229</v>
      </c>
    </row>
    <row r="13" spans="2:27" ht="15.75" thickBot="1" x14ac:dyDescent="0.3">
      <c r="B13" s="113" t="s">
        <v>312</v>
      </c>
      <c r="C13" s="160" t="s">
        <v>177</v>
      </c>
      <c r="E13" s="263" t="s">
        <v>436</v>
      </c>
      <c r="F13" s="186">
        <v>20</v>
      </c>
      <c r="H13" s="268">
        <v>500000</v>
      </c>
      <c r="I13" s="186">
        <v>1.5</v>
      </c>
      <c r="K13" s="263">
        <v>8</v>
      </c>
      <c r="L13" s="186">
        <v>20</v>
      </c>
      <c r="M13" s="190"/>
      <c r="O13" s="189">
        <v>9.5</v>
      </c>
      <c r="P13" s="84" t="s">
        <v>197</v>
      </c>
      <c r="Q13" s="188">
        <v>9.5</v>
      </c>
      <c r="S13" s="113" t="s">
        <v>197</v>
      </c>
      <c r="T13" s="84" t="s">
        <v>212</v>
      </c>
      <c r="U13" s="84" t="s">
        <v>177</v>
      </c>
      <c r="V13" s="84" t="s">
        <v>188</v>
      </c>
      <c r="W13" s="160" t="s">
        <v>214</v>
      </c>
    </row>
    <row r="14" spans="2:27" ht="15.75" thickBot="1" x14ac:dyDescent="0.3">
      <c r="B14" s="113" t="s">
        <v>311</v>
      </c>
      <c r="C14" s="160" t="s">
        <v>197</v>
      </c>
      <c r="E14" s="261"/>
      <c r="F14" s="84"/>
      <c r="O14" s="189">
        <v>10.5</v>
      </c>
      <c r="P14" s="84" t="s">
        <v>177</v>
      </c>
      <c r="Q14" s="188">
        <v>10.5</v>
      </c>
      <c r="S14" s="113" t="s">
        <v>177</v>
      </c>
      <c r="T14" s="84" t="s">
        <v>240</v>
      </c>
      <c r="U14" s="84" t="s">
        <v>212</v>
      </c>
      <c r="V14" s="84" t="s">
        <v>197</v>
      </c>
      <c r="W14" s="160" t="s">
        <v>188</v>
      </c>
    </row>
    <row r="15" spans="2:27" ht="15.75" thickBot="1" x14ac:dyDescent="0.3">
      <c r="B15" s="113" t="s">
        <v>310</v>
      </c>
      <c r="C15" s="160" t="s">
        <v>182</v>
      </c>
      <c r="E15" s="363" t="str">
        <f>'R.Output_Commodity traders'!D17</f>
        <v>Reliance on Largest Region</v>
      </c>
      <c r="F15" s="364"/>
      <c r="H15" s="357" t="str">
        <f>'R.Output_Commodity traders'!D29</f>
        <v>Fixed Assets</v>
      </c>
      <c r="I15" s="359"/>
      <c r="K15" s="363" t="str">
        <f>'R.Output_Commodity traders'!D36</f>
        <v>FFO/Net Debt</v>
      </c>
      <c r="L15" s="364"/>
      <c r="O15" s="189">
        <v>11.5</v>
      </c>
      <c r="P15" s="84" t="s">
        <v>212</v>
      </c>
      <c r="Q15" s="188">
        <v>11.5</v>
      </c>
      <c r="S15" s="113" t="s">
        <v>212</v>
      </c>
      <c r="T15" s="84" t="s">
        <v>194</v>
      </c>
      <c r="U15" s="84" t="s">
        <v>240</v>
      </c>
      <c r="V15" s="84" t="s">
        <v>177</v>
      </c>
      <c r="W15" s="160" t="s">
        <v>197</v>
      </c>
    </row>
    <row r="16" spans="2:27" x14ac:dyDescent="0.25">
      <c r="B16" s="113" t="s">
        <v>307</v>
      </c>
      <c r="C16" s="160" t="s">
        <v>199</v>
      </c>
      <c r="E16" s="184" t="s">
        <v>154</v>
      </c>
      <c r="F16" s="270" t="s">
        <v>133</v>
      </c>
      <c r="H16" s="184" t="s">
        <v>154</v>
      </c>
      <c r="I16" s="270" t="s">
        <v>133</v>
      </c>
      <c r="K16" s="272" t="s">
        <v>154</v>
      </c>
      <c r="L16" s="269" t="s">
        <v>133</v>
      </c>
      <c r="O16" s="189">
        <v>12.5</v>
      </c>
      <c r="P16" s="84" t="s">
        <v>240</v>
      </c>
      <c r="Q16" s="188">
        <v>12.5</v>
      </c>
      <c r="S16" s="113" t="s">
        <v>240</v>
      </c>
      <c r="T16" s="84" t="s">
        <v>172</v>
      </c>
      <c r="U16" s="84" t="s">
        <v>194</v>
      </c>
      <c r="V16" s="84" t="s">
        <v>212</v>
      </c>
      <c r="W16" s="160" t="s">
        <v>177</v>
      </c>
    </row>
    <row r="17" spans="2:23" x14ac:dyDescent="0.25">
      <c r="B17" s="113" t="s">
        <v>305</v>
      </c>
      <c r="C17" s="160" t="s">
        <v>194</v>
      </c>
      <c r="E17" s="113" t="s">
        <v>437</v>
      </c>
      <c r="F17" s="188">
        <v>1.5</v>
      </c>
      <c r="H17" s="267">
        <v>0</v>
      </c>
      <c r="I17" s="188">
        <v>20</v>
      </c>
      <c r="K17" s="272">
        <v>-50</v>
      </c>
      <c r="L17" s="188">
        <v>1.5</v>
      </c>
      <c r="O17" s="189">
        <v>13.5</v>
      </c>
      <c r="P17" s="84" t="s">
        <v>194</v>
      </c>
      <c r="Q17" s="188">
        <v>13.5</v>
      </c>
      <c r="S17" s="113" t="s">
        <v>194</v>
      </c>
      <c r="T17" s="84" t="s">
        <v>175</v>
      </c>
      <c r="U17" s="84" t="s">
        <v>172</v>
      </c>
      <c r="V17" s="84" t="s">
        <v>240</v>
      </c>
      <c r="W17" s="160" t="s">
        <v>212</v>
      </c>
    </row>
    <row r="18" spans="2:23" x14ac:dyDescent="0.25">
      <c r="B18" s="113" t="s">
        <v>302</v>
      </c>
      <c r="C18" s="160" t="s">
        <v>177</v>
      </c>
      <c r="E18" s="113" t="s">
        <v>438</v>
      </c>
      <c r="F18" s="188">
        <v>3.5</v>
      </c>
      <c r="H18" s="267">
        <v>100</v>
      </c>
      <c r="I18" s="188">
        <v>18.5</v>
      </c>
      <c r="K18" s="272">
        <v>0.02</v>
      </c>
      <c r="L18" s="188">
        <v>3.5</v>
      </c>
      <c r="O18" s="189">
        <v>14.5</v>
      </c>
      <c r="P18" s="84" t="s">
        <v>172</v>
      </c>
      <c r="Q18" s="188">
        <v>14.5</v>
      </c>
      <c r="S18" s="113" t="s">
        <v>172</v>
      </c>
      <c r="T18" s="84" t="s">
        <v>257</v>
      </c>
      <c r="U18" s="84" t="s">
        <v>175</v>
      </c>
      <c r="V18" s="84" t="s">
        <v>194</v>
      </c>
      <c r="W18" s="160" t="s">
        <v>240</v>
      </c>
    </row>
    <row r="19" spans="2:23" x14ac:dyDescent="0.25">
      <c r="B19" s="113" t="s">
        <v>299</v>
      </c>
      <c r="C19" s="160" t="s">
        <v>177</v>
      </c>
      <c r="E19" s="113" t="s">
        <v>439</v>
      </c>
      <c r="F19" s="188">
        <v>6.5</v>
      </c>
      <c r="H19" s="267">
        <v>250</v>
      </c>
      <c r="I19" s="188">
        <v>15.5</v>
      </c>
      <c r="K19" s="272">
        <v>0.06</v>
      </c>
      <c r="L19" s="188">
        <v>6.5</v>
      </c>
      <c r="O19" s="189">
        <v>15.5</v>
      </c>
      <c r="P19" s="84" t="s">
        <v>175</v>
      </c>
      <c r="Q19" s="188">
        <v>15.5</v>
      </c>
      <c r="S19" s="113" t="s">
        <v>175</v>
      </c>
      <c r="T19" s="84" t="s">
        <v>290</v>
      </c>
      <c r="U19" s="84" t="s">
        <v>257</v>
      </c>
      <c r="V19" s="84" t="s">
        <v>172</v>
      </c>
      <c r="W19" s="160" t="s">
        <v>194</v>
      </c>
    </row>
    <row r="20" spans="2:23" x14ac:dyDescent="0.25">
      <c r="B20" s="113" t="s">
        <v>297</v>
      </c>
      <c r="C20" s="160" t="s">
        <v>175</v>
      </c>
      <c r="E20" s="113" t="s">
        <v>440</v>
      </c>
      <c r="F20" s="188">
        <v>9.5</v>
      </c>
      <c r="H20" s="266">
        <v>1000</v>
      </c>
      <c r="I20" s="188">
        <v>12.5</v>
      </c>
      <c r="K20" s="272">
        <v>0.15</v>
      </c>
      <c r="L20" s="188">
        <v>9.5</v>
      </c>
      <c r="O20" s="189">
        <v>16.5</v>
      </c>
      <c r="P20" s="84" t="s">
        <v>257</v>
      </c>
      <c r="Q20" s="188">
        <v>16.5</v>
      </c>
      <c r="S20" s="113" t="s">
        <v>257</v>
      </c>
      <c r="T20" s="84" t="s">
        <v>244</v>
      </c>
      <c r="U20" s="84" t="s">
        <v>290</v>
      </c>
      <c r="V20" s="84" t="s">
        <v>175</v>
      </c>
      <c r="W20" s="160" t="s">
        <v>172</v>
      </c>
    </row>
    <row r="21" spans="2:23" x14ac:dyDescent="0.25">
      <c r="B21" s="113" t="s">
        <v>295</v>
      </c>
      <c r="C21" s="160" t="s">
        <v>179</v>
      </c>
      <c r="E21" s="113" t="s">
        <v>441</v>
      </c>
      <c r="F21" s="188">
        <v>12.5</v>
      </c>
      <c r="H21" s="266">
        <v>5000</v>
      </c>
      <c r="I21" s="188">
        <v>9.5</v>
      </c>
      <c r="K21" s="272">
        <v>0.25</v>
      </c>
      <c r="L21" s="188">
        <v>12.5</v>
      </c>
      <c r="O21" s="189">
        <v>17.5</v>
      </c>
      <c r="P21" s="84" t="s">
        <v>290</v>
      </c>
      <c r="Q21" s="188">
        <v>17.5</v>
      </c>
      <c r="S21" s="113" t="s">
        <v>290</v>
      </c>
      <c r="T21" s="84" t="s">
        <v>291</v>
      </c>
      <c r="U21" s="84" t="s">
        <v>244</v>
      </c>
      <c r="V21" s="84" t="s">
        <v>257</v>
      </c>
      <c r="W21" s="160" t="s">
        <v>175</v>
      </c>
    </row>
    <row r="22" spans="2:23" x14ac:dyDescent="0.25">
      <c r="B22" s="113" t="s">
        <v>293</v>
      </c>
      <c r="C22" s="160" t="s">
        <v>172</v>
      </c>
      <c r="E22" s="113" t="s">
        <v>442</v>
      </c>
      <c r="F22" s="188">
        <v>15.5</v>
      </c>
      <c r="H22" s="266">
        <v>10000</v>
      </c>
      <c r="I22" s="188">
        <v>6.5</v>
      </c>
      <c r="K22" s="272">
        <v>0.4</v>
      </c>
      <c r="L22" s="188">
        <v>15.5</v>
      </c>
      <c r="O22" s="189">
        <v>18.5</v>
      </c>
      <c r="P22" s="84" t="s">
        <v>244</v>
      </c>
      <c r="Q22" s="188">
        <v>18.5</v>
      </c>
      <c r="S22" s="113" t="s">
        <v>244</v>
      </c>
      <c r="T22" s="84" t="s">
        <v>133</v>
      </c>
      <c r="U22" s="84" t="s">
        <v>291</v>
      </c>
      <c r="V22" s="84" t="s">
        <v>290</v>
      </c>
      <c r="W22" s="160" t="s">
        <v>257</v>
      </c>
    </row>
    <row r="23" spans="2:23" ht="15.75" thickBot="1" x14ac:dyDescent="0.3">
      <c r="B23" s="113" t="s">
        <v>292</v>
      </c>
      <c r="C23" s="160" t="s">
        <v>190</v>
      </c>
      <c r="E23" s="113" t="s">
        <v>443</v>
      </c>
      <c r="F23" s="188">
        <v>18.5</v>
      </c>
      <c r="H23" s="266">
        <v>30000</v>
      </c>
      <c r="I23" s="188">
        <v>3.5</v>
      </c>
      <c r="K23" s="272">
        <v>0.7</v>
      </c>
      <c r="L23" s="188">
        <v>18.5</v>
      </c>
      <c r="O23" s="187">
        <v>19.5</v>
      </c>
      <c r="P23" s="185" t="s">
        <v>291</v>
      </c>
      <c r="Q23" s="186">
        <v>19.5</v>
      </c>
      <c r="S23" s="159" t="s">
        <v>291</v>
      </c>
      <c r="T23" s="185" t="s">
        <v>133</v>
      </c>
      <c r="U23" s="185" t="s">
        <v>133</v>
      </c>
      <c r="V23" s="185" t="s">
        <v>244</v>
      </c>
      <c r="W23" s="158" t="s">
        <v>290</v>
      </c>
    </row>
    <row r="24" spans="2:23" ht="15.75" thickBot="1" x14ac:dyDescent="0.3">
      <c r="B24" s="113" t="s">
        <v>289</v>
      </c>
      <c r="C24" s="160" t="s">
        <v>190</v>
      </c>
      <c r="E24" s="265" t="s">
        <v>444</v>
      </c>
      <c r="F24" s="186">
        <v>20</v>
      </c>
      <c r="H24" s="268">
        <v>75000</v>
      </c>
      <c r="I24" s="186">
        <v>1.5</v>
      </c>
      <c r="K24" s="273">
        <v>1.2</v>
      </c>
      <c r="L24" s="186">
        <v>20</v>
      </c>
    </row>
    <row r="25" spans="2:23" ht="15.75" thickBot="1" x14ac:dyDescent="0.3">
      <c r="B25" s="113" t="s">
        <v>288</v>
      </c>
      <c r="C25" s="160" t="s">
        <v>177</v>
      </c>
      <c r="S25" s="361" t="s">
        <v>286</v>
      </c>
      <c r="T25" s="362"/>
      <c r="V25" s="182" t="s">
        <v>285</v>
      </c>
    </row>
    <row r="26" spans="2:23" x14ac:dyDescent="0.25">
      <c r="B26" s="113" t="s">
        <v>284</v>
      </c>
      <c r="C26" s="160" t="s">
        <v>172</v>
      </c>
      <c r="E26" s="363" t="str">
        <f>'R.Output_Commodity traders'!D19</f>
        <v>Primary Market Position</v>
      </c>
      <c r="F26" s="364"/>
      <c r="K26" s="363" t="str">
        <f>'R.Output_Commodity traders'!D39</f>
        <v>RCF/Net Debt</v>
      </c>
      <c r="L26" s="364"/>
      <c r="S26" s="181" t="s">
        <v>282</v>
      </c>
      <c r="T26" s="180">
        <v>2</v>
      </c>
      <c r="V26" s="179" t="s">
        <v>282</v>
      </c>
    </row>
    <row r="27" spans="2:23" x14ac:dyDescent="0.25">
      <c r="B27" s="113" t="s">
        <v>281</v>
      </c>
      <c r="C27" s="160" t="s">
        <v>212</v>
      </c>
      <c r="E27" s="113" t="s">
        <v>154</v>
      </c>
      <c r="F27" s="271" t="s">
        <v>133</v>
      </c>
      <c r="K27" s="202" t="s">
        <v>154</v>
      </c>
      <c r="L27" s="201" t="s">
        <v>133</v>
      </c>
      <c r="S27" s="174" t="s">
        <v>279</v>
      </c>
      <c r="T27" s="160">
        <v>3</v>
      </c>
      <c r="V27" s="178" t="s">
        <v>279</v>
      </c>
    </row>
    <row r="28" spans="2:23" x14ac:dyDescent="0.25">
      <c r="B28" s="113" t="s">
        <v>278</v>
      </c>
      <c r="C28" s="160" t="s">
        <v>212</v>
      </c>
      <c r="E28" s="113" t="s">
        <v>445</v>
      </c>
      <c r="F28" s="188">
        <v>1.5</v>
      </c>
      <c r="K28" s="272">
        <v>-50</v>
      </c>
      <c r="L28" s="188">
        <v>1.5</v>
      </c>
      <c r="S28" s="174" t="s">
        <v>274</v>
      </c>
      <c r="T28" s="160">
        <v>4</v>
      </c>
      <c r="V28" s="173" t="s">
        <v>133</v>
      </c>
    </row>
    <row r="29" spans="2:23" ht="15.75" thickBot="1" x14ac:dyDescent="0.3">
      <c r="B29" s="113" t="s">
        <v>276</v>
      </c>
      <c r="C29" s="160" t="s">
        <v>257</v>
      </c>
      <c r="E29" s="113" t="s">
        <v>446</v>
      </c>
      <c r="F29" s="188">
        <v>3.5</v>
      </c>
      <c r="K29" s="272">
        <v>0.02</v>
      </c>
      <c r="L29" s="188">
        <v>3.5</v>
      </c>
      <c r="S29" s="169" t="s">
        <v>272</v>
      </c>
      <c r="T29" s="158">
        <v>5</v>
      </c>
      <c r="V29" s="168" t="s">
        <v>274</v>
      </c>
    </row>
    <row r="30" spans="2:23" ht="15.75" thickBot="1" x14ac:dyDescent="0.3">
      <c r="B30" s="113" t="s">
        <v>273</v>
      </c>
      <c r="C30" s="160" t="s">
        <v>190</v>
      </c>
      <c r="E30" s="113" t="s">
        <v>447</v>
      </c>
      <c r="F30" s="188">
        <v>6.5</v>
      </c>
      <c r="K30" s="272">
        <v>0.05</v>
      </c>
      <c r="L30" s="188">
        <v>6.5</v>
      </c>
      <c r="V30" s="167" t="s">
        <v>272</v>
      </c>
    </row>
    <row r="31" spans="2:23" ht="15.75" thickBot="1" x14ac:dyDescent="0.3">
      <c r="B31" s="113" t="s">
        <v>271</v>
      </c>
      <c r="C31" s="160" t="s">
        <v>179</v>
      </c>
      <c r="E31" s="113" t="s">
        <v>448</v>
      </c>
      <c r="F31" s="188">
        <v>9.5</v>
      </c>
      <c r="K31" s="272">
        <v>0.12</v>
      </c>
      <c r="L31" s="188">
        <v>9.5</v>
      </c>
      <c r="S31" s="166" t="s">
        <v>270</v>
      </c>
      <c r="T31" s="165">
        <f>VLOOKUP('R.Output_General Industries'!I60,'Reference Data_Comm. traders'!S26:T29,2,FALSE)</f>
        <v>2</v>
      </c>
    </row>
    <row r="32" spans="2:23" x14ac:dyDescent="0.25">
      <c r="B32" s="113" t="s">
        <v>269</v>
      </c>
      <c r="C32" s="160" t="s">
        <v>175</v>
      </c>
      <c r="E32" s="113" t="s">
        <v>449</v>
      </c>
      <c r="F32" s="188">
        <v>12.5</v>
      </c>
      <c r="K32" s="272">
        <v>0.2</v>
      </c>
      <c r="L32" s="188">
        <v>12.5</v>
      </c>
    </row>
    <row r="33" spans="2:12" x14ac:dyDescent="0.25">
      <c r="B33" s="113" t="s">
        <v>268</v>
      </c>
      <c r="C33" s="160" t="s">
        <v>257</v>
      </c>
      <c r="E33" s="264" t="s">
        <v>450</v>
      </c>
      <c r="F33" s="188">
        <v>15.5</v>
      </c>
      <c r="K33" s="272">
        <v>0.3</v>
      </c>
      <c r="L33" s="188">
        <v>15.5</v>
      </c>
    </row>
    <row r="34" spans="2:12" x14ac:dyDescent="0.25">
      <c r="B34" s="113" t="s">
        <v>267</v>
      </c>
      <c r="C34" s="160" t="s">
        <v>177</v>
      </c>
      <c r="E34" s="264" t="s">
        <v>451</v>
      </c>
      <c r="F34" s="188">
        <v>18.5</v>
      </c>
      <c r="K34" s="272">
        <v>0.6</v>
      </c>
      <c r="L34" s="188">
        <v>18.5</v>
      </c>
    </row>
    <row r="35" spans="2:12" ht="15.75" thickBot="1" x14ac:dyDescent="0.3">
      <c r="B35" s="113" t="s">
        <v>266</v>
      </c>
      <c r="C35" s="160" t="s">
        <v>194</v>
      </c>
      <c r="E35" s="265" t="s">
        <v>452</v>
      </c>
      <c r="F35" s="186">
        <v>20</v>
      </c>
      <c r="K35" s="277">
        <v>1</v>
      </c>
      <c r="L35" s="186">
        <v>20</v>
      </c>
    </row>
    <row r="36" spans="2:12" ht="15.75" thickBot="1" x14ac:dyDescent="0.3">
      <c r="B36" s="113" t="s">
        <v>265</v>
      </c>
      <c r="C36" s="160" t="s">
        <v>190</v>
      </c>
    </row>
    <row r="37" spans="2:12" x14ac:dyDescent="0.25">
      <c r="B37" s="113" t="s">
        <v>264</v>
      </c>
      <c r="C37" s="160" t="s">
        <v>179</v>
      </c>
      <c r="E37" s="363" t="str">
        <f>'R.Output_Commodity traders'!D21</f>
        <v>Global Market Position</v>
      </c>
      <c r="F37" s="364"/>
    </row>
    <row r="38" spans="2:12" x14ac:dyDescent="0.25">
      <c r="B38" s="113" t="s">
        <v>263</v>
      </c>
      <c r="C38" s="160" t="s">
        <v>253</v>
      </c>
      <c r="E38" s="113" t="s">
        <v>154</v>
      </c>
      <c r="F38" s="271" t="s">
        <v>133</v>
      </c>
    </row>
    <row r="39" spans="2:12" x14ac:dyDescent="0.25">
      <c r="B39" s="113" t="s">
        <v>262</v>
      </c>
      <c r="C39" s="160" t="s">
        <v>194</v>
      </c>
      <c r="E39" s="113" t="s">
        <v>453</v>
      </c>
      <c r="F39" s="188">
        <v>1.5</v>
      </c>
    </row>
    <row r="40" spans="2:12" x14ac:dyDescent="0.25">
      <c r="B40" s="113" t="s">
        <v>261</v>
      </c>
      <c r="C40" s="160" t="s">
        <v>194</v>
      </c>
      <c r="E40" s="113" t="s">
        <v>447</v>
      </c>
      <c r="F40" s="188">
        <v>3.5</v>
      </c>
    </row>
    <row r="41" spans="2:12" x14ac:dyDescent="0.25">
      <c r="B41" s="113" t="s">
        <v>260</v>
      </c>
      <c r="C41" s="160" t="s">
        <v>179</v>
      </c>
      <c r="E41" s="113" t="s">
        <v>448</v>
      </c>
      <c r="F41" s="188">
        <v>6.5</v>
      </c>
    </row>
    <row r="42" spans="2:12" x14ac:dyDescent="0.25">
      <c r="B42" s="113" t="s">
        <v>259</v>
      </c>
      <c r="C42" s="160" t="s">
        <v>175</v>
      </c>
      <c r="E42" s="113" t="s">
        <v>454</v>
      </c>
      <c r="F42" s="188">
        <v>9.5</v>
      </c>
    </row>
    <row r="43" spans="2:12" x14ac:dyDescent="0.25">
      <c r="B43" s="113" t="s">
        <v>258</v>
      </c>
      <c r="C43" s="160" t="s">
        <v>257</v>
      </c>
      <c r="E43" s="113" t="s">
        <v>450</v>
      </c>
      <c r="F43" s="188">
        <v>12.5</v>
      </c>
    </row>
    <row r="44" spans="2:12" x14ac:dyDescent="0.25">
      <c r="B44" s="113" t="s">
        <v>256</v>
      </c>
      <c r="C44" s="160" t="s">
        <v>212</v>
      </c>
      <c r="E44" s="264" t="s">
        <v>455</v>
      </c>
      <c r="F44" s="188">
        <v>15.5</v>
      </c>
    </row>
    <row r="45" spans="2:12" x14ac:dyDescent="0.25">
      <c r="B45" s="113" t="s">
        <v>255</v>
      </c>
      <c r="C45" s="160" t="s">
        <v>229</v>
      </c>
      <c r="E45" s="264" t="s">
        <v>456</v>
      </c>
      <c r="F45" s="188">
        <v>18.5</v>
      </c>
    </row>
    <row r="46" spans="2:12" ht="15.75" thickBot="1" x14ac:dyDescent="0.3">
      <c r="B46" s="113" t="s">
        <v>254</v>
      </c>
      <c r="C46" s="160" t="s">
        <v>253</v>
      </c>
      <c r="E46" s="265" t="s">
        <v>452</v>
      </c>
      <c r="F46" s="186">
        <v>20</v>
      </c>
    </row>
    <row r="47" spans="2:12" x14ac:dyDescent="0.25">
      <c r="B47" s="113" t="s">
        <v>252</v>
      </c>
      <c r="C47" s="160" t="s">
        <v>212</v>
      </c>
    </row>
    <row r="48" spans="2:12" x14ac:dyDescent="0.25">
      <c r="B48" s="113" t="s">
        <v>251</v>
      </c>
      <c r="C48" s="160" t="s">
        <v>197</v>
      </c>
    </row>
    <row r="49" spans="2:3" x14ac:dyDescent="0.25">
      <c r="B49" s="113" t="s">
        <v>250</v>
      </c>
      <c r="C49" s="160" t="s">
        <v>177</v>
      </c>
    </row>
    <row r="50" spans="2:3" x14ac:dyDescent="0.25">
      <c r="B50" s="113" t="s">
        <v>249</v>
      </c>
      <c r="C50" s="160" t="s">
        <v>177</v>
      </c>
    </row>
    <row r="51" spans="2:3" x14ac:dyDescent="0.25">
      <c r="B51" s="113" t="s">
        <v>248</v>
      </c>
      <c r="C51" s="160" t="s">
        <v>188</v>
      </c>
    </row>
    <row r="52" spans="2:3" x14ac:dyDescent="0.25">
      <c r="B52" s="113" t="s">
        <v>247</v>
      </c>
      <c r="C52" s="160" t="s">
        <v>229</v>
      </c>
    </row>
    <row r="53" spans="2:3" x14ac:dyDescent="0.25">
      <c r="B53" s="113" t="s">
        <v>246</v>
      </c>
      <c r="C53" s="160" t="s">
        <v>188</v>
      </c>
    </row>
    <row r="54" spans="2:3" x14ac:dyDescent="0.25">
      <c r="B54" s="113" t="s">
        <v>245</v>
      </c>
      <c r="C54" s="160" t="s">
        <v>244</v>
      </c>
    </row>
    <row r="55" spans="2:3" x14ac:dyDescent="0.25">
      <c r="B55" s="113" t="s">
        <v>243</v>
      </c>
      <c r="C55" s="160" t="s">
        <v>190</v>
      </c>
    </row>
    <row r="56" spans="2:3" x14ac:dyDescent="0.25">
      <c r="B56" s="113" t="s">
        <v>242</v>
      </c>
      <c r="C56" s="160" t="s">
        <v>188</v>
      </c>
    </row>
    <row r="57" spans="2:3" x14ac:dyDescent="0.25">
      <c r="B57" s="113" t="s">
        <v>241</v>
      </c>
      <c r="C57" s="160" t="s">
        <v>240</v>
      </c>
    </row>
    <row r="58" spans="2:3" x14ac:dyDescent="0.25">
      <c r="B58" s="113" t="s">
        <v>239</v>
      </c>
      <c r="C58" s="160" t="s">
        <v>182</v>
      </c>
    </row>
    <row r="59" spans="2:3" x14ac:dyDescent="0.25">
      <c r="B59" s="113" t="s">
        <v>238</v>
      </c>
      <c r="C59" s="160" t="s">
        <v>188</v>
      </c>
    </row>
    <row r="60" spans="2:3" x14ac:dyDescent="0.25">
      <c r="B60" s="113" t="s">
        <v>237</v>
      </c>
      <c r="C60" s="160" t="s">
        <v>175</v>
      </c>
    </row>
    <row r="61" spans="2:3" x14ac:dyDescent="0.25">
      <c r="B61" s="113" t="s">
        <v>236</v>
      </c>
      <c r="C61" s="160" t="s">
        <v>194</v>
      </c>
    </row>
    <row r="62" spans="2:3" x14ac:dyDescent="0.25">
      <c r="B62" s="113" t="s">
        <v>235</v>
      </c>
      <c r="C62" s="160" t="s">
        <v>188</v>
      </c>
    </row>
    <row r="63" spans="2:3" x14ac:dyDescent="0.25">
      <c r="B63" s="113" t="s">
        <v>234</v>
      </c>
      <c r="C63" s="160" t="s">
        <v>179</v>
      </c>
    </row>
    <row r="64" spans="2:3" x14ac:dyDescent="0.25">
      <c r="B64" s="113" t="s">
        <v>233</v>
      </c>
      <c r="C64" s="160" t="s">
        <v>199</v>
      </c>
    </row>
    <row r="65" spans="2:3" x14ac:dyDescent="0.25">
      <c r="B65" s="113" t="s">
        <v>232</v>
      </c>
      <c r="C65" s="160" t="s">
        <v>212</v>
      </c>
    </row>
    <row r="66" spans="2:3" x14ac:dyDescent="0.25">
      <c r="B66" s="113" t="s">
        <v>231</v>
      </c>
      <c r="C66" s="160" t="s">
        <v>214</v>
      </c>
    </row>
    <row r="67" spans="2:3" x14ac:dyDescent="0.25">
      <c r="B67" s="113" t="s">
        <v>230</v>
      </c>
      <c r="C67" s="160" t="s">
        <v>229</v>
      </c>
    </row>
    <row r="68" spans="2:3" x14ac:dyDescent="0.25">
      <c r="B68" s="113" t="s">
        <v>228</v>
      </c>
      <c r="C68" s="160" t="s">
        <v>188</v>
      </c>
    </row>
    <row r="69" spans="2:3" x14ac:dyDescent="0.25">
      <c r="B69" s="113" t="s">
        <v>227</v>
      </c>
      <c r="C69" s="160" t="s">
        <v>172</v>
      </c>
    </row>
    <row r="70" spans="2:3" x14ac:dyDescent="0.25">
      <c r="B70" s="113" t="s">
        <v>226</v>
      </c>
      <c r="C70" s="160" t="s">
        <v>177</v>
      </c>
    </row>
    <row r="71" spans="2:3" x14ac:dyDescent="0.25">
      <c r="B71" s="113" t="s">
        <v>225</v>
      </c>
      <c r="C71" s="160" t="s">
        <v>172</v>
      </c>
    </row>
    <row r="72" spans="2:3" x14ac:dyDescent="0.25">
      <c r="B72" s="113" t="s">
        <v>224</v>
      </c>
      <c r="C72" s="160" t="s">
        <v>177</v>
      </c>
    </row>
    <row r="73" spans="2:3" x14ac:dyDescent="0.25">
      <c r="B73" s="113" t="s">
        <v>223</v>
      </c>
      <c r="C73" s="160" t="s">
        <v>179</v>
      </c>
    </row>
    <row r="74" spans="2:3" x14ac:dyDescent="0.25">
      <c r="B74" s="113" t="s">
        <v>222</v>
      </c>
      <c r="C74" s="160" t="s">
        <v>182</v>
      </c>
    </row>
    <row r="75" spans="2:3" x14ac:dyDescent="0.25">
      <c r="B75" s="113" t="s">
        <v>221</v>
      </c>
      <c r="C75" s="160" t="s">
        <v>194</v>
      </c>
    </row>
    <row r="76" spans="2:3" x14ac:dyDescent="0.25">
      <c r="B76" s="113" t="s">
        <v>220</v>
      </c>
      <c r="C76" s="160" t="s">
        <v>179</v>
      </c>
    </row>
    <row r="77" spans="2:3" x14ac:dyDescent="0.25">
      <c r="B77" s="113" t="s">
        <v>219</v>
      </c>
      <c r="C77" s="160" t="s">
        <v>197</v>
      </c>
    </row>
    <row r="78" spans="2:3" x14ac:dyDescent="0.25">
      <c r="B78" s="113" t="s">
        <v>218</v>
      </c>
      <c r="C78" s="160" t="s">
        <v>194</v>
      </c>
    </row>
    <row r="79" spans="2:3" x14ac:dyDescent="0.25">
      <c r="B79" s="113" t="s">
        <v>217</v>
      </c>
      <c r="C79" s="160" t="s">
        <v>197</v>
      </c>
    </row>
    <row r="80" spans="2:3" x14ac:dyDescent="0.25">
      <c r="B80" s="113" t="s">
        <v>216</v>
      </c>
      <c r="C80" s="160" t="s">
        <v>179</v>
      </c>
    </row>
    <row r="81" spans="2:3" x14ac:dyDescent="0.25">
      <c r="B81" s="113" t="s">
        <v>215</v>
      </c>
      <c r="C81" s="160" t="s">
        <v>214</v>
      </c>
    </row>
    <row r="82" spans="2:3" x14ac:dyDescent="0.25">
      <c r="B82" s="113" t="s">
        <v>213</v>
      </c>
      <c r="C82" s="160" t="s">
        <v>212</v>
      </c>
    </row>
    <row r="83" spans="2:3" x14ac:dyDescent="0.25">
      <c r="B83" s="113" t="s">
        <v>211</v>
      </c>
      <c r="C83" s="160" t="s">
        <v>177</v>
      </c>
    </row>
    <row r="84" spans="2:3" x14ac:dyDescent="0.25">
      <c r="B84" s="113" t="s">
        <v>210</v>
      </c>
      <c r="C84" s="160" t="s">
        <v>197</v>
      </c>
    </row>
    <row r="85" spans="2:3" x14ac:dyDescent="0.25">
      <c r="B85" s="113" t="s">
        <v>209</v>
      </c>
      <c r="C85" s="160" t="s">
        <v>175</v>
      </c>
    </row>
    <row r="86" spans="2:3" x14ac:dyDescent="0.25">
      <c r="B86" s="113" t="s">
        <v>208</v>
      </c>
      <c r="C86" s="160" t="s">
        <v>188</v>
      </c>
    </row>
    <row r="87" spans="2:3" x14ac:dyDescent="0.25">
      <c r="B87" s="113" t="s">
        <v>207</v>
      </c>
      <c r="C87" s="160" t="s">
        <v>199</v>
      </c>
    </row>
    <row r="88" spans="2:3" x14ac:dyDescent="0.25">
      <c r="B88" s="113" t="s">
        <v>206</v>
      </c>
      <c r="C88" s="160" t="s">
        <v>194</v>
      </c>
    </row>
    <row r="89" spans="2:3" x14ac:dyDescent="0.25">
      <c r="B89" s="113" t="s">
        <v>205</v>
      </c>
      <c r="C89" s="160" t="s">
        <v>175</v>
      </c>
    </row>
    <row r="90" spans="2:3" x14ac:dyDescent="0.25">
      <c r="B90" s="113" t="s">
        <v>204</v>
      </c>
      <c r="C90" s="160" t="s">
        <v>179</v>
      </c>
    </row>
    <row r="91" spans="2:3" x14ac:dyDescent="0.25">
      <c r="B91" s="113" t="s">
        <v>203</v>
      </c>
      <c r="C91" s="160" t="s">
        <v>190</v>
      </c>
    </row>
    <row r="92" spans="2:3" x14ac:dyDescent="0.25">
      <c r="B92" s="113" t="s">
        <v>202</v>
      </c>
      <c r="C92" s="160" t="s">
        <v>188</v>
      </c>
    </row>
    <row r="93" spans="2:3" x14ac:dyDescent="0.25">
      <c r="B93" s="113" t="s">
        <v>201</v>
      </c>
      <c r="C93" s="160" t="s">
        <v>197</v>
      </c>
    </row>
    <row r="94" spans="2:3" x14ac:dyDescent="0.25">
      <c r="B94" s="113" t="s">
        <v>200</v>
      </c>
      <c r="C94" s="160" t="s">
        <v>199</v>
      </c>
    </row>
    <row r="95" spans="2:3" x14ac:dyDescent="0.25">
      <c r="B95" s="113" t="s">
        <v>198</v>
      </c>
      <c r="C95" s="160" t="s">
        <v>197</v>
      </c>
    </row>
    <row r="96" spans="2:3" x14ac:dyDescent="0.25">
      <c r="B96" s="113" t="s">
        <v>196</v>
      </c>
      <c r="C96" s="160" t="s">
        <v>194</v>
      </c>
    </row>
    <row r="97" spans="2:3" x14ac:dyDescent="0.25">
      <c r="B97" s="113" t="s">
        <v>195</v>
      </c>
      <c r="C97" s="160" t="s">
        <v>194</v>
      </c>
    </row>
    <row r="98" spans="2:3" x14ac:dyDescent="0.25">
      <c r="B98" s="113" t="s">
        <v>193</v>
      </c>
      <c r="C98" s="160" t="s">
        <v>179</v>
      </c>
    </row>
    <row r="99" spans="2:3" x14ac:dyDescent="0.25">
      <c r="B99" s="113" t="s">
        <v>192</v>
      </c>
      <c r="C99" s="160" t="s">
        <v>179</v>
      </c>
    </row>
    <row r="100" spans="2:3" x14ac:dyDescent="0.25">
      <c r="B100" s="113" t="s">
        <v>191</v>
      </c>
      <c r="C100" s="160" t="s">
        <v>190</v>
      </c>
    </row>
    <row r="101" spans="2:3" x14ac:dyDescent="0.25">
      <c r="B101" s="113" t="s">
        <v>189</v>
      </c>
      <c r="C101" s="160" t="s">
        <v>188</v>
      </c>
    </row>
    <row r="102" spans="2:3" x14ac:dyDescent="0.25">
      <c r="B102" s="113" t="s">
        <v>187</v>
      </c>
      <c r="C102" s="160" t="s">
        <v>179</v>
      </c>
    </row>
    <row r="103" spans="2:3" x14ac:dyDescent="0.25">
      <c r="B103" s="113" t="s">
        <v>186</v>
      </c>
      <c r="C103" s="160" t="s">
        <v>177</v>
      </c>
    </row>
    <row r="104" spans="2:3" x14ac:dyDescent="0.25">
      <c r="B104" s="113" t="s">
        <v>185</v>
      </c>
      <c r="C104" s="160" t="s">
        <v>175</v>
      </c>
    </row>
    <row r="105" spans="2:3" x14ac:dyDescent="0.25">
      <c r="B105" s="113" t="s">
        <v>184</v>
      </c>
      <c r="C105" s="160" t="s">
        <v>175</v>
      </c>
    </row>
    <row r="106" spans="2:3" x14ac:dyDescent="0.25">
      <c r="B106" s="113" t="s">
        <v>183</v>
      </c>
      <c r="C106" s="160" t="s">
        <v>182</v>
      </c>
    </row>
    <row r="107" spans="2:3" x14ac:dyDescent="0.25">
      <c r="B107" s="113" t="s">
        <v>181</v>
      </c>
      <c r="C107" s="160" t="s">
        <v>179</v>
      </c>
    </row>
    <row r="108" spans="2:3" x14ac:dyDescent="0.25">
      <c r="B108" s="113" t="s">
        <v>180</v>
      </c>
      <c r="C108" s="160" t="s">
        <v>179</v>
      </c>
    </row>
    <row r="109" spans="2:3" x14ac:dyDescent="0.25">
      <c r="B109" s="113" t="s">
        <v>178</v>
      </c>
      <c r="C109" s="160" t="s">
        <v>177</v>
      </c>
    </row>
    <row r="110" spans="2:3" x14ac:dyDescent="0.25">
      <c r="B110" s="113" t="s">
        <v>176</v>
      </c>
      <c r="C110" s="160" t="s">
        <v>175</v>
      </c>
    </row>
    <row r="111" spans="2:3" x14ac:dyDescent="0.25">
      <c r="B111" s="113" t="s">
        <v>174</v>
      </c>
      <c r="C111" s="160" t="s">
        <v>172</v>
      </c>
    </row>
    <row r="112" spans="2:3" ht="15.75" thickBot="1" x14ac:dyDescent="0.3">
      <c r="B112" s="159" t="s">
        <v>173</v>
      </c>
      <c r="C112" s="158" t="s">
        <v>172</v>
      </c>
    </row>
  </sheetData>
  <sortState ref="L6:L13">
    <sortCondition ref="L6"/>
  </sortState>
  <mergeCells count="20">
    <mergeCell ref="B4:C4"/>
    <mergeCell ref="E4:F4"/>
    <mergeCell ref="H4:I4"/>
    <mergeCell ref="K4:L4"/>
    <mergeCell ref="B2:C2"/>
    <mergeCell ref="E2:F2"/>
    <mergeCell ref="H2:I2"/>
    <mergeCell ref="K2:L2"/>
    <mergeCell ref="Y4:AA4"/>
    <mergeCell ref="E15:F15"/>
    <mergeCell ref="O2:Q2"/>
    <mergeCell ref="S2:W2"/>
    <mergeCell ref="Y2:AA2"/>
    <mergeCell ref="P3:Q3"/>
    <mergeCell ref="E26:F26"/>
    <mergeCell ref="S25:T25"/>
    <mergeCell ref="E37:F37"/>
    <mergeCell ref="H15:I15"/>
    <mergeCell ref="K15:L15"/>
    <mergeCell ref="K26:L26"/>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3"/>
  <sheetViews>
    <sheetView topLeftCell="A10" zoomScale="85" zoomScaleNormal="85" workbookViewId="0">
      <selection activeCell="C12" sqref="C12"/>
    </sheetView>
  </sheetViews>
  <sheetFormatPr defaultRowHeight="15" x14ac:dyDescent="0.25"/>
  <cols>
    <col min="2" max="2" width="40" customWidth="1"/>
    <col min="3" max="3" width="13.140625" customWidth="1"/>
    <col min="5" max="5" width="55.140625" customWidth="1"/>
  </cols>
  <sheetData>
    <row r="2" spans="2:6" x14ac:dyDescent="0.25">
      <c r="B2" s="360" t="str">
        <f>'R.Output_Commodity traders'!C42</f>
        <v>FACTOR 4:  FINANCIAL POLICIES (20%)</v>
      </c>
      <c r="C2" s="360"/>
      <c r="E2" s="360" t="str">
        <f>'R.Output_Commodity traders'!C46</f>
        <v>FACTOR 5:  BUSINESS RISK PROFILE (20%)</v>
      </c>
      <c r="F2" s="360"/>
    </row>
    <row r="3" spans="2:6" ht="15.75" thickBot="1" x14ac:dyDescent="0.3"/>
    <row r="4" spans="2:6" x14ac:dyDescent="0.25">
      <c r="B4" s="363" t="s">
        <v>147</v>
      </c>
      <c r="C4" s="364"/>
      <c r="E4" s="363" t="str">
        <f>'R.Output_Commodity traders'!D48</f>
        <v>Business Risk Profile</v>
      </c>
      <c r="F4" s="364"/>
    </row>
    <row r="5" spans="2:6" x14ac:dyDescent="0.25">
      <c r="B5" s="283" t="s">
        <v>154</v>
      </c>
      <c r="C5" s="281" t="s">
        <v>133</v>
      </c>
      <c r="E5" s="282" t="s">
        <v>154</v>
      </c>
      <c r="F5" s="281" t="s">
        <v>133</v>
      </c>
    </row>
    <row r="6" spans="2:6" ht="105" x14ac:dyDescent="0.25">
      <c r="B6" s="283" t="s">
        <v>470</v>
      </c>
      <c r="C6" s="279">
        <v>1.5</v>
      </c>
      <c r="E6" s="284" t="s">
        <v>471</v>
      </c>
      <c r="F6" s="279">
        <v>1.5</v>
      </c>
    </row>
    <row r="7" spans="2:6" ht="105" x14ac:dyDescent="0.25">
      <c r="B7" s="282" t="s">
        <v>457</v>
      </c>
      <c r="C7" s="279">
        <v>3.5</v>
      </c>
      <c r="E7" s="284" t="s">
        <v>471</v>
      </c>
      <c r="F7" s="279">
        <v>3.5</v>
      </c>
    </row>
    <row r="8" spans="2:6" ht="225" x14ac:dyDescent="0.25">
      <c r="B8" s="283" t="s">
        <v>458</v>
      </c>
      <c r="C8" s="279">
        <v>6.5</v>
      </c>
      <c r="E8" s="283" t="s">
        <v>464</v>
      </c>
      <c r="F8" s="279">
        <v>6.5</v>
      </c>
    </row>
    <row r="9" spans="2:6" ht="195" x14ac:dyDescent="0.25">
      <c r="B9" s="283" t="s">
        <v>459</v>
      </c>
      <c r="C9" s="279">
        <v>9.5</v>
      </c>
      <c r="E9" s="283" t="s">
        <v>465</v>
      </c>
      <c r="F9" s="279">
        <v>9.5</v>
      </c>
    </row>
    <row r="10" spans="2:6" ht="120" x14ac:dyDescent="0.25">
      <c r="B10" s="283" t="s">
        <v>460</v>
      </c>
      <c r="C10" s="279">
        <v>12.5</v>
      </c>
      <c r="E10" s="283" t="s">
        <v>466</v>
      </c>
      <c r="F10" s="279">
        <v>12.5</v>
      </c>
    </row>
    <row r="11" spans="2:6" ht="138" customHeight="1" x14ac:dyDescent="0.25">
      <c r="B11" s="283" t="s">
        <v>461</v>
      </c>
      <c r="C11" s="279">
        <v>15.5</v>
      </c>
      <c r="E11" s="283" t="s">
        <v>467</v>
      </c>
      <c r="F11" s="279">
        <v>15.5</v>
      </c>
    </row>
    <row r="12" spans="2:6" ht="90" x14ac:dyDescent="0.25">
      <c r="B12" s="283" t="s">
        <v>462</v>
      </c>
      <c r="C12" s="279">
        <v>18.5</v>
      </c>
      <c r="E12" s="285" t="s">
        <v>468</v>
      </c>
      <c r="F12" s="279">
        <v>18.5</v>
      </c>
    </row>
    <row r="13" spans="2:6" ht="75.75" thickBot="1" x14ac:dyDescent="0.3">
      <c r="B13" s="283" t="s">
        <v>463</v>
      </c>
      <c r="C13" s="280">
        <v>20</v>
      </c>
      <c r="E13" s="286" t="s">
        <v>469</v>
      </c>
      <c r="F13" s="280">
        <v>20</v>
      </c>
    </row>
  </sheetData>
  <sortState ref="C5:C12">
    <sortCondition ref="C12"/>
  </sortState>
  <mergeCells count="4">
    <mergeCell ref="B2:C2"/>
    <mergeCell ref="E2:F2"/>
    <mergeCell ref="B4:C4"/>
    <mergeCell ref="E4:F4"/>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2:S63"/>
  <sheetViews>
    <sheetView showGridLines="0" view="pageBreakPreview" zoomScale="85" zoomScaleNormal="100" zoomScaleSheetLayoutView="85" workbookViewId="0">
      <pane ySplit="5" topLeftCell="A6" activePane="bottomLeft" state="frozen"/>
      <selection pane="bottomLeft" activeCell="E43" sqref="E43"/>
    </sheetView>
  </sheetViews>
  <sheetFormatPr defaultRowHeight="15" x14ac:dyDescent="0.25"/>
  <cols>
    <col min="2" max="2" width="15.5703125" customWidth="1"/>
    <col min="3" max="3" width="3.28515625" customWidth="1"/>
    <col min="4" max="4" width="43.28515625" customWidth="1"/>
    <col min="5" max="5" width="44.140625" customWidth="1"/>
    <col min="6" max="6" width="4" customWidth="1"/>
    <col min="7" max="7" width="14.140625" style="86" customWidth="1"/>
    <col min="8" max="8" width="14.140625" style="87" customWidth="1"/>
    <col min="9" max="9" width="14.140625" style="86" customWidth="1"/>
    <col min="11" max="11" width="18.5703125" style="84" customWidth="1"/>
    <col min="12" max="12" width="9.140625" style="85"/>
    <col min="13" max="19" width="9.140625" style="84"/>
  </cols>
  <sheetData>
    <row r="2" spans="3:19" x14ac:dyDescent="0.25">
      <c r="C2" s="343" t="s">
        <v>171</v>
      </c>
      <c r="D2" s="344"/>
      <c r="E2" s="157"/>
    </row>
    <row r="3" spans="3:19" ht="15.75" thickBot="1" x14ac:dyDescent="0.3"/>
    <row r="4" spans="3:19" s="149" customFormat="1" x14ac:dyDescent="0.25">
      <c r="C4" s="156"/>
      <c r="D4" s="155"/>
      <c r="E4" s="155"/>
      <c r="F4" s="155"/>
      <c r="G4" s="154"/>
      <c r="H4" s="153"/>
      <c r="I4" s="152"/>
      <c r="K4" s="150"/>
      <c r="L4" s="151"/>
      <c r="M4" s="150"/>
      <c r="N4" s="150"/>
      <c r="O4" s="150"/>
      <c r="P4" s="150"/>
      <c r="Q4" s="150"/>
      <c r="R4" s="150"/>
      <c r="S4" s="150"/>
    </row>
    <row r="5" spans="3:19" s="143" customFormat="1" ht="15.75" thickBot="1" x14ac:dyDescent="0.3">
      <c r="C5" s="148"/>
      <c r="D5" s="147" t="s">
        <v>170</v>
      </c>
      <c r="E5" s="147" t="s">
        <v>169</v>
      </c>
      <c r="F5" s="147"/>
      <c r="G5" s="147" t="s">
        <v>168</v>
      </c>
      <c r="H5" s="146" t="s">
        <v>167</v>
      </c>
      <c r="I5" s="145" t="s">
        <v>166</v>
      </c>
      <c r="K5" s="126"/>
      <c r="L5" s="144"/>
      <c r="M5" s="126"/>
      <c r="N5" s="126"/>
      <c r="O5" s="126"/>
      <c r="P5" s="126"/>
      <c r="Q5" s="126"/>
      <c r="R5" s="126"/>
      <c r="S5" s="126"/>
    </row>
    <row r="6" spans="3:19" s="131" customFormat="1" x14ac:dyDescent="0.25">
      <c r="C6" s="142"/>
      <c r="D6" s="141"/>
      <c r="E6" s="141"/>
      <c r="F6" s="141"/>
      <c r="G6" s="141"/>
      <c r="H6" s="140"/>
      <c r="I6" s="139"/>
      <c r="K6" s="132"/>
      <c r="L6" s="133"/>
      <c r="M6" s="132"/>
      <c r="N6" s="132"/>
      <c r="O6" s="132"/>
      <c r="P6" s="132"/>
      <c r="Q6" s="132"/>
      <c r="R6" s="132"/>
      <c r="S6" s="132"/>
    </row>
    <row r="7" spans="3:19" s="131" customFormat="1" x14ac:dyDescent="0.25">
      <c r="C7" s="138" t="str">
        <f>'[1]BS - Alt Currency'!B6</f>
        <v>Counterparty name</v>
      </c>
      <c r="D7" s="136"/>
      <c r="E7" s="244" t="str">
        <f>Cover!A4</f>
        <v>Saras Group</v>
      </c>
      <c r="F7" s="136"/>
      <c r="G7" s="136"/>
      <c r="H7" s="135"/>
      <c r="I7" s="134"/>
      <c r="K7" s="132"/>
      <c r="L7" s="133"/>
      <c r="M7" s="132"/>
      <c r="N7" s="132"/>
      <c r="O7" s="132"/>
      <c r="P7" s="132"/>
      <c r="Q7" s="132"/>
      <c r="R7" s="132"/>
      <c r="S7" s="132"/>
    </row>
    <row r="8" spans="3:19" s="131" customFormat="1" x14ac:dyDescent="0.25">
      <c r="C8" s="137"/>
      <c r="D8" s="136"/>
      <c r="E8" s="136"/>
      <c r="F8" s="136"/>
      <c r="G8" s="136"/>
      <c r="H8" s="135"/>
      <c r="I8" s="134"/>
      <c r="K8" s="132"/>
      <c r="L8" s="133"/>
      <c r="M8" s="132"/>
      <c r="N8" s="132"/>
      <c r="O8" s="132"/>
      <c r="P8" s="132"/>
      <c r="Q8" s="132"/>
      <c r="R8" s="132"/>
      <c r="S8" s="132"/>
    </row>
    <row r="9" spans="3:19" x14ac:dyDescent="0.25">
      <c r="C9" s="111" t="s">
        <v>165</v>
      </c>
      <c r="D9" s="84"/>
      <c r="E9" s="84"/>
      <c r="F9" s="84"/>
      <c r="G9" s="110"/>
      <c r="H9" s="109"/>
      <c r="I9" s="130"/>
    </row>
    <row r="10" spans="3:19" x14ac:dyDescent="0.25">
      <c r="C10" s="111"/>
      <c r="D10" s="84"/>
      <c r="E10" s="110"/>
      <c r="F10" s="84"/>
      <c r="G10" s="110"/>
      <c r="H10" s="109"/>
      <c r="I10" s="130"/>
    </row>
    <row r="11" spans="3:19" x14ac:dyDescent="0.25">
      <c r="C11" s="111"/>
      <c r="D11" s="119" t="s">
        <v>164</v>
      </c>
      <c r="E11" s="125" t="s">
        <v>154</v>
      </c>
      <c r="F11" s="84"/>
      <c r="G11" s="110" t="str">
        <f>VLOOKUP($E$11,'Reference Data_General'!B:C,2,FALSE)</f>
        <v>-</v>
      </c>
      <c r="H11" s="109" t="s">
        <v>97</v>
      </c>
      <c r="I11" s="130"/>
      <c r="J11" s="84"/>
    </row>
    <row r="12" spans="3:19" x14ac:dyDescent="0.25">
      <c r="C12" s="113"/>
      <c r="D12" s="84"/>
      <c r="E12" s="110"/>
      <c r="F12" s="84"/>
      <c r="G12" s="110"/>
      <c r="H12" s="109"/>
      <c r="I12" s="130"/>
    </row>
    <row r="13" spans="3:19" x14ac:dyDescent="0.25">
      <c r="C13" s="111" t="s">
        <v>410</v>
      </c>
      <c r="D13" s="84"/>
      <c r="E13" s="110"/>
      <c r="F13" s="84"/>
      <c r="G13" s="110"/>
      <c r="H13" s="109"/>
      <c r="I13" s="130"/>
    </row>
    <row r="14" spans="3:19" x14ac:dyDescent="0.25">
      <c r="C14" s="111"/>
      <c r="D14" s="84"/>
      <c r="E14" s="110"/>
      <c r="F14" s="84"/>
      <c r="G14" s="110"/>
      <c r="H14" s="109"/>
      <c r="I14" s="112"/>
    </row>
    <row r="15" spans="3:19" x14ac:dyDescent="0.25">
      <c r="C15" s="111"/>
      <c r="D15" s="84" t="s">
        <v>412</v>
      </c>
      <c r="E15" s="125" t="s">
        <v>154</v>
      </c>
      <c r="F15" s="84"/>
      <c r="G15" s="128" t="str">
        <f>VLOOKUP(E15,'Reference Data_Comm. traders'!E5:F13,2,FALSE)</f>
        <v>-</v>
      </c>
      <c r="H15" s="129">
        <v>0.1</v>
      </c>
      <c r="I15" s="108" t="str">
        <f>IF(E15="Select", "-", G15*H15)</f>
        <v>-</v>
      </c>
    </row>
    <row r="16" spans="3:19" x14ac:dyDescent="0.25">
      <c r="C16" s="113"/>
      <c r="D16" s="84"/>
      <c r="E16" s="110"/>
      <c r="F16" s="84"/>
      <c r="G16" s="128"/>
      <c r="H16" s="116"/>
      <c r="I16" s="112"/>
    </row>
    <row r="17" spans="3:9" x14ac:dyDescent="0.25">
      <c r="C17" s="113"/>
      <c r="D17" s="119" t="s">
        <v>413</v>
      </c>
      <c r="E17" s="125" t="s">
        <v>154</v>
      </c>
      <c r="F17" s="84"/>
      <c r="G17" s="128" t="str">
        <f>VLOOKUP(E17,'Reference Data_Comm. traders'!E16:F24,2,FALSE)</f>
        <v>-</v>
      </c>
      <c r="H17" s="129">
        <v>0.05</v>
      </c>
      <c r="I17" s="108" t="str">
        <f>IF(E17="Select", "-", G17*H17)</f>
        <v>-</v>
      </c>
    </row>
    <row r="18" spans="3:9" x14ac:dyDescent="0.25">
      <c r="C18" s="113"/>
      <c r="D18" s="119"/>
      <c r="E18" s="110"/>
      <c r="F18" s="84"/>
      <c r="G18" s="110"/>
      <c r="H18" s="109"/>
      <c r="I18" s="112"/>
    </row>
    <row r="19" spans="3:9" x14ac:dyDescent="0.25">
      <c r="C19" s="113"/>
      <c r="D19" s="119" t="s">
        <v>414</v>
      </c>
      <c r="E19" s="125" t="s">
        <v>154</v>
      </c>
      <c r="F19" s="84"/>
      <c r="G19" s="128" t="str">
        <f>VLOOKUP(E19,'Reference Data_Comm. traders'!E27:F35,2,FALSE)</f>
        <v>-</v>
      </c>
      <c r="H19" s="109">
        <v>0.05</v>
      </c>
      <c r="I19" s="108" t="str">
        <f>IF(E19="Select", "-", G19*H19)</f>
        <v>-</v>
      </c>
    </row>
    <row r="20" spans="3:9" x14ac:dyDescent="0.25">
      <c r="C20" s="113"/>
      <c r="D20" s="124"/>
      <c r="E20" s="110"/>
      <c r="F20" s="84"/>
      <c r="G20" s="110"/>
      <c r="H20" s="109"/>
      <c r="I20" s="108"/>
    </row>
    <row r="21" spans="3:9" x14ac:dyDescent="0.25">
      <c r="C21" s="113"/>
      <c r="D21" s="119" t="s">
        <v>415</v>
      </c>
      <c r="E21" s="125" t="s">
        <v>154</v>
      </c>
      <c r="F21" s="84"/>
      <c r="G21" s="128" t="str">
        <f>VLOOKUP(E21,'Reference Data_Comm. traders'!E38:F46,2,FALSE)</f>
        <v>-</v>
      </c>
      <c r="H21" s="109">
        <v>0.05</v>
      </c>
      <c r="I21" s="108" t="str">
        <f>IF(E21="Select", "-", G21*H21)</f>
        <v>-</v>
      </c>
    </row>
    <row r="22" spans="3:9" x14ac:dyDescent="0.25">
      <c r="C22" s="113"/>
      <c r="D22" s="124"/>
      <c r="E22" s="110"/>
      <c r="F22" s="84"/>
      <c r="G22" s="110"/>
      <c r="H22" s="109"/>
      <c r="I22" s="108"/>
    </row>
    <row r="23" spans="3:9" x14ac:dyDescent="0.25">
      <c r="C23" s="113"/>
      <c r="D23" s="124"/>
      <c r="E23" s="110"/>
      <c r="F23" s="84"/>
      <c r="G23" s="110"/>
      <c r="H23" s="109"/>
      <c r="I23" s="108"/>
    </row>
    <row r="24" spans="3:9" x14ac:dyDescent="0.25">
      <c r="C24" s="111" t="s">
        <v>427</v>
      </c>
      <c r="D24" s="124"/>
      <c r="E24" s="110"/>
      <c r="F24" s="84"/>
      <c r="G24" s="110"/>
      <c r="H24" s="109"/>
      <c r="I24" s="108"/>
    </row>
    <row r="25" spans="3:9" ht="15.75" thickBot="1" x14ac:dyDescent="0.3">
      <c r="C25" s="113"/>
      <c r="D25" s="124"/>
      <c r="E25" s="110"/>
      <c r="F25" s="84"/>
      <c r="G25" s="110"/>
      <c r="H25" s="109"/>
      <c r="I25" s="108"/>
    </row>
    <row r="26" spans="3:9" ht="15.75" thickBot="1" x14ac:dyDescent="0.3">
      <c r="C26" s="113"/>
      <c r="D26" s="119" t="s">
        <v>416</v>
      </c>
      <c r="E26" s="122">
        <f>AVERAGE('3. Financials (USD)'!D10:E10)</f>
        <v>15093.823029917519</v>
      </c>
      <c r="F26" s="84"/>
      <c r="G26" s="127">
        <f>VLOOKUP(E26,'Reference Data_Comm. traders'!H5:I13,2,TRUE)</f>
        <v>12.5</v>
      </c>
      <c r="H26" s="109">
        <v>0.1</v>
      </c>
      <c r="I26" s="108">
        <f>IF(E26="Select", "-", G26*H26)</f>
        <v>1.25</v>
      </c>
    </row>
    <row r="27" spans="3:9" x14ac:dyDescent="0.25">
      <c r="C27" s="113"/>
      <c r="D27" s="124" t="s">
        <v>426</v>
      </c>
      <c r="E27" s="126"/>
      <c r="F27" s="84"/>
      <c r="G27" s="110"/>
      <c r="H27" s="109"/>
      <c r="I27" s="108"/>
    </row>
    <row r="28" spans="3:9" ht="15.75" thickBot="1" x14ac:dyDescent="0.3">
      <c r="C28" s="113"/>
      <c r="D28" s="124"/>
      <c r="E28" s="126"/>
      <c r="F28" s="84"/>
      <c r="G28" s="110"/>
      <c r="H28" s="109"/>
      <c r="I28" s="108"/>
    </row>
    <row r="29" spans="3:9" ht="15.75" thickBot="1" x14ac:dyDescent="0.3">
      <c r="C29" s="113"/>
      <c r="D29" s="119" t="s">
        <v>417</v>
      </c>
      <c r="E29" s="122">
        <f>'3. Financials (USD)'!D33</f>
        <v>1616.2511284583929</v>
      </c>
      <c r="F29" s="84"/>
      <c r="G29" s="110">
        <f>VLOOKUP(E29,'Reference Data_Comm. traders'!H16:I24,2,TRUE)</f>
        <v>12.5</v>
      </c>
      <c r="H29" s="109">
        <v>0.05</v>
      </c>
      <c r="I29" s="108">
        <f>IF(E29="Select", "-", G29*H29)</f>
        <v>0.625</v>
      </c>
    </row>
    <row r="30" spans="3:9" x14ac:dyDescent="0.25">
      <c r="C30" s="113"/>
      <c r="D30" s="124"/>
      <c r="E30" s="110"/>
      <c r="F30" s="84"/>
      <c r="G30" s="110"/>
      <c r="H30" s="109"/>
      <c r="I30" s="108"/>
    </row>
    <row r="31" spans="3:9" x14ac:dyDescent="0.25">
      <c r="C31" s="111" t="s">
        <v>411</v>
      </c>
      <c r="D31" s="84"/>
      <c r="E31" s="110"/>
      <c r="F31" s="84"/>
      <c r="G31" s="110"/>
      <c r="H31" s="109"/>
      <c r="I31" s="108"/>
    </row>
    <row r="32" spans="3:9" ht="15.75" thickBot="1" x14ac:dyDescent="0.3">
      <c r="C32" s="111"/>
      <c r="D32" s="84"/>
      <c r="E32" s="110"/>
      <c r="F32" s="84"/>
      <c r="G32" s="120"/>
      <c r="H32" s="109"/>
      <c r="I32" s="108"/>
    </row>
    <row r="33" spans="3:9" ht="15.75" thickBot="1" x14ac:dyDescent="0.3">
      <c r="C33" s="113"/>
      <c r="D33" s="119" t="s">
        <v>418</v>
      </c>
      <c r="E33" s="123">
        <f>('3. Financials (USD)'!D38-'3. Financials (USD)'!D32)/(AVERAGE('3. Financials (USD)'!D12:E12))</f>
        <v>0.35933874961759366</v>
      </c>
      <c r="F33" s="84"/>
      <c r="G33" s="110">
        <f>VLOOKUP(E33,'Reference Data_Comm. traders'!K5:L13,2,TRUE)</f>
        <v>1.5</v>
      </c>
      <c r="H33" s="109">
        <v>0.1</v>
      </c>
      <c r="I33" s="108">
        <f>H33*G33</f>
        <v>0.15000000000000002</v>
      </c>
    </row>
    <row r="34" spans="3:9" x14ac:dyDescent="0.25">
      <c r="C34" s="113"/>
      <c r="D34" s="115" t="s">
        <v>421</v>
      </c>
      <c r="E34" s="110"/>
      <c r="F34" s="84"/>
      <c r="G34" s="114"/>
      <c r="H34" s="109"/>
      <c r="I34" s="108"/>
    </row>
    <row r="35" spans="3:9" ht="15.75" thickBot="1" x14ac:dyDescent="0.3">
      <c r="C35" s="113"/>
      <c r="D35" s="119"/>
      <c r="E35" s="110"/>
      <c r="F35" s="84"/>
      <c r="G35" s="120"/>
      <c r="H35" s="109"/>
      <c r="I35" s="108"/>
    </row>
    <row r="36" spans="3:9" ht="15.75" thickBot="1" x14ac:dyDescent="0.3">
      <c r="C36" s="113"/>
      <c r="D36" s="119" t="s">
        <v>419</v>
      </c>
      <c r="E36" s="122">
        <f>AVERAGE('3. Financials (USD)'!D17:E17)/('3. Financials (USD)'!D38-'3. Financials (USD)'!D32)</f>
        <v>-0.20613468459867729</v>
      </c>
      <c r="F36" s="84"/>
      <c r="G36" s="110">
        <f>VLOOKUP(E36,'Reference Data_Comm. traders'!K16:L24,2,TRUE)</f>
        <v>1.5</v>
      </c>
      <c r="H36" s="109">
        <v>0.05</v>
      </c>
      <c r="I36" s="108">
        <f>H36*G36</f>
        <v>7.5000000000000011E-2</v>
      </c>
    </row>
    <row r="37" spans="3:9" x14ac:dyDescent="0.25">
      <c r="C37" s="113"/>
      <c r="D37" s="115" t="s">
        <v>422</v>
      </c>
      <c r="E37" s="110"/>
      <c r="F37" s="84"/>
      <c r="G37" s="114"/>
      <c r="H37" s="109"/>
      <c r="I37" s="108"/>
    </row>
    <row r="38" spans="3:9" ht="15.75" thickBot="1" x14ac:dyDescent="0.3">
      <c r="C38" s="113"/>
      <c r="D38" s="84"/>
      <c r="E38" s="110"/>
      <c r="F38" s="84"/>
      <c r="G38" s="114"/>
      <c r="H38" s="109"/>
      <c r="I38" s="108"/>
    </row>
    <row r="39" spans="3:9" ht="15.75" thickBot="1" x14ac:dyDescent="0.3">
      <c r="C39" s="113"/>
      <c r="D39" s="260" t="s">
        <v>420</v>
      </c>
      <c r="E39" s="122">
        <f>AVERAGE('3. Financials (USD)'!D23:E23)/('3. Financials (USD)'!D38-'3. Financials (USD)'!D32)</f>
        <v>-0.20613468459867729</v>
      </c>
      <c r="F39" s="84"/>
      <c r="G39" s="110">
        <f>VLOOKUP(E39,'Reference Data_Comm. traders'!K27:L35,2,TRUE)</f>
        <v>1.5</v>
      </c>
      <c r="H39" s="109">
        <v>0.05</v>
      </c>
      <c r="I39" s="108">
        <f>H39*G39</f>
        <v>7.5000000000000011E-2</v>
      </c>
    </row>
    <row r="40" spans="3:9" x14ac:dyDescent="0.25">
      <c r="C40" s="113"/>
      <c r="D40" s="115" t="s">
        <v>423</v>
      </c>
      <c r="E40" s="110"/>
      <c r="F40" s="84"/>
      <c r="G40" s="114"/>
      <c r="H40" s="109"/>
      <c r="I40" s="108"/>
    </row>
    <row r="41" spans="3:9" x14ac:dyDescent="0.25">
      <c r="C41" s="113"/>
      <c r="D41" s="84"/>
      <c r="E41" s="110"/>
      <c r="F41" s="84"/>
      <c r="G41" s="114"/>
      <c r="H41" s="109"/>
      <c r="I41" s="108"/>
    </row>
    <row r="42" spans="3:9" x14ac:dyDescent="0.25">
      <c r="C42" s="111" t="s">
        <v>409</v>
      </c>
      <c r="D42" s="84"/>
      <c r="E42" s="110"/>
      <c r="F42" s="84"/>
      <c r="G42" s="120"/>
      <c r="H42" s="109"/>
      <c r="I42" s="108"/>
    </row>
    <row r="43" spans="3:9" x14ac:dyDescent="0.25">
      <c r="C43" s="113"/>
      <c r="D43" s="84"/>
      <c r="E43" s="110"/>
      <c r="F43" s="84"/>
      <c r="G43" s="120"/>
      <c r="H43" s="109"/>
      <c r="I43" s="108"/>
    </row>
    <row r="44" spans="3:9" x14ac:dyDescent="0.25">
      <c r="C44" s="113"/>
      <c r="D44" s="119" t="s">
        <v>424</v>
      </c>
      <c r="E44" s="125" t="s">
        <v>154</v>
      </c>
      <c r="F44" s="84"/>
      <c r="G44" s="110" t="str">
        <f>VLOOKUP(E44,'Reference Data_Comm. traders 2'!B5:C13,2,FALSE)</f>
        <v>-</v>
      </c>
      <c r="H44" s="129">
        <v>0.2</v>
      </c>
      <c r="I44" s="108" t="e">
        <f>H44*G44</f>
        <v>#VALUE!</v>
      </c>
    </row>
    <row r="45" spans="3:9" x14ac:dyDescent="0.25">
      <c r="C45" s="113"/>
      <c r="D45" s="115"/>
      <c r="E45" s="110"/>
      <c r="F45" s="84"/>
      <c r="G45" s="114"/>
      <c r="H45" s="109"/>
      <c r="I45" s="108"/>
    </row>
    <row r="46" spans="3:9" x14ac:dyDescent="0.25">
      <c r="C46" s="111" t="s">
        <v>428</v>
      </c>
      <c r="D46" s="84"/>
      <c r="E46" s="84"/>
      <c r="F46" s="84"/>
      <c r="G46" s="110"/>
      <c r="H46" s="109"/>
      <c r="I46" s="112"/>
    </row>
    <row r="47" spans="3:9" x14ac:dyDescent="0.25">
      <c r="C47" s="113"/>
      <c r="D47" s="84"/>
      <c r="E47" s="84"/>
      <c r="F47" s="84"/>
      <c r="G47" s="110"/>
      <c r="H47" s="109"/>
      <c r="I47" s="112"/>
    </row>
    <row r="48" spans="3:9" x14ac:dyDescent="0.25">
      <c r="C48" s="113"/>
      <c r="D48" s="119" t="s">
        <v>425</v>
      </c>
      <c r="E48" s="125" t="s">
        <v>154</v>
      </c>
      <c r="F48" s="84"/>
      <c r="G48" s="110" t="str">
        <f>VLOOKUP(E48,'Reference Data_Comm. traders 2'!E5:F13,2,FALSE)</f>
        <v>-</v>
      </c>
      <c r="H48" s="129">
        <v>0.2</v>
      </c>
      <c r="I48" s="108" t="e">
        <f>H48*G48</f>
        <v>#VALUE!</v>
      </c>
    </row>
    <row r="49" spans="3:9" x14ac:dyDescent="0.25">
      <c r="C49" s="113"/>
      <c r="D49" s="84"/>
      <c r="E49" s="84"/>
      <c r="F49" s="84"/>
      <c r="G49" s="110"/>
      <c r="H49" s="109"/>
      <c r="I49" s="112"/>
    </row>
    <row r="50" spans="3:9" ht="15.75" thickBot="1" x14ac:dyDescent="0.3">
      <c r="C50" s="111" t="s">
        <v>136</v>
      </c>
      <c r="D50" s="84"/>
      <c r="E50" s="84"/>
      <c r="F50" s="84"/>
      <c r="G50" s="110"/>
      <c r="H50" s="109">
        <f>SUM(H15:H48)</f>
        <v>1</v>
      </c>
      <c r="I50" s="108" t="e">
        <f>SUM(I15:I48)</f>
        <v>#VALUE!</v>
      </c>
    </row>
    <row r="51" spans="3:9" x14ac:dyDescent="0.25">
      <c r="C51" s="107"/>
      <c r="D51" s="106"/>
      <c r="E51" s="106"/>
      <c r="F51" s="106"/>
      <c r="G51" s="105"/>
      <c r="H51" s="104"/>
      <c r="I51" s="103"/>
    </row>
    <row r="52" spans="3:9" x14ac:dyDescent="0.25">
      <c r="C52" s="97" t="s">
        <v>135</v>
      </c>
      <c r="D52" s="96"/>
      <c r="E52" s="96"/>
      <c r="F52" s="96"/>
      <c r="G52" s="95"/>
      <c r="H52" s="94"/>
      <c r="I52" s="93" t="e">
        <f>VLOOKUP(I50,'Reference Data_General'!T:V,2)</f>
        <v>#VALUE!</v>
      </c>
    </row>
    <row r="53" spans="3:9" x14ac:dyDescent="0.25">
      <c r="C53" s="99"/>
      <c r="D53" s="96"/>
      <c r="E53" s="96"/>
      <c r="F53" s="96"/>
      <c r="G53" s="95"/>
      <c r="H53" s="94"/>
      <c r="I53" s="93"/>
    </row>
    <row r="54" spans="3:9" x14ac:dyDescent="0.25">
      <c r="C54" s="97" t="s">
        <v>134</v>
      </c>
      <c r="D54" s="96"/>
      <c r="E54" s="102" t="s">
        <v>133</v>
      </c>
      <c r="F54" s="96"/>
      <c r="G54" s="95"/>
      <c r="H54" s="94"/>
      <c r="I54" s="93" t="str">
        <f>E54</f>
        <v>-</v>
      </c>
    </row>
    <row r="55" spans="3:9" x14ac:dyDescent="0.25">
      <c r="C55" s="97"/>
      <c r="D55" s="96"/>
      <c r="E55" s="96"/>
      <c r="F55" s="96"/>
      <c r="G55" s="95"/>
      <c r="H55" s="94"/>
      <c r="I55" s="93"/>
    </row>
    <row r="56" spans="3:9" ht="15" customHeight="1" x14ac:dyDescent="0.25">
      <c r="C56" s="101"/>
      <c r="D56" s="100"/>
      <c r="E56" s="337" t="s">
        <v>132</v>
      </c>
      <c r="F56" s="338"/>
      <c r="G56" s="338"/>
      <c r="H56" s="339"/>
      <c r="I56" s="93"/>
    </row>
    <row r="57" spans="3:9" x14ac:dyDescent="0.25">
      <c r="C57" s="99"/>
      <c r="D57" s="96"/>
      <c r="E57" s="340"/>
      <c r="F57" s="341"/>
      <c r="G57" s="341"/>
      <c r="H57" s="342"/>
      <c r="I57" s="93"/>
    </row>
    <row r="58" spans="3:9" x14ac:dyDescent="0.25">
      <c r="C58" s="99"/>
      <c r="D58" s="96"/>
      <c r="E58" s="98"/>
      <c r="F58" s="98"/>
      <c r="G58" s="98"/>
      <c r="H58" s="98"/>
      <c r="I58" s="93"/>
    </row>
    <row r="59" spans="3:9" x14ac:dyDescent="0.25">
      <c r="C59" s="97" t="s">
        <v>131</v>
      </c>
      <c r="D59" s="96"/>
      <c r="E59" s="96"/>
      <c r="F59" s="96"/>
      <c r="G59" s="95"/>
      <c r="H59" s="94"/>
      <c r="I59" s="93" t="e">
        <f>IF(I54="-",I52,VLOOKUP(I52,'Reference Data_General'!X5:AB23,'Reference Data_General'!Y31,FALSE))</f>
        <v>#VALUE!</v>
      </c>
    </row>
    <row r="60" spans="3:9" x14ac:dyDescent="0.25">
      <c r="C60" s="97"/>
      <c r="D60" s="96"/>
      <c r="E60" s="96"/>
      <c r="F60" s="96"/>
      <c r="G60" s="95"/>
      <c r="H60" s="94"/>
      <c r="I60" s="93"/>
    </row>
    <row r="61" spans="3:9" x14ac:dyDescent="0.25">
      <c r="C61" s="97" t="s">
        <v>130</v>
      </c>
      <c r="D61" s="96"/>
      <c r="E61" s="96"/>
      <c r="F61" s="96"/>
      <c r="G61" s="95"/>
      <c r="H61" s="94"/>
      <c r="I61" s="93" t="str">
        <f>'Reference Data_General'!AF8</f>
        <v>No</v>
      </c>
    </row>
    <row r="62" spans="3:9" ht="15.75" thickBot="1" x14ac:dyDescent="0.3">
      <c r="C62" s="92"/>
      <c r="D62" s="91"/>
      <c r="E62" s="91"/>
      <c r="F62" s="91"/>
      <c r="G62" s="90"/>
      <c r="H62" s="89"/>
      <c r="I62" s="88"/>
    </row>
    <row r="63" spans="3:9" ht="15.75" thickBot="1" x14ac:dyDescent="0.3">
      <c r="C63" s="92" t="s">
        <v>129</v>
      </c>
      <c r="D63" s="91"/>
      <c r="E63" s="91"/>
      <c r="F63" s="91"/>
      <c r="G63" s="90"/>
      <c r="H63" s="89"/>
      <c r="I63" s="88" t="e">
        <f>IF(I61="No",I59,G11)</f>
        <v>#VALUE!</v>
      </c>
    </row>
  </sheetData>
  <mergeCells count="2">
    <mergeCell ref="C2:D2"/>
    <mergeCell ref="E56:H57"/>
  </mergeCells>
  <pageMargins left="0.7" right="0.7" top="0.75" bottom="0.75" header="0.3" footer="0.3"/>
  <pageSetup scale="65" orientation="portrait" r:id="rId1"/>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x14:formula1>
            <xm:f>'Reference Data_General'!$AA$26:$AA$30</xm:f>
          </x14:formula1>
          <xm:sqref>E54</xm:sqref>
        </x14:dataValidation>
        <x14:dataValidation type="list" allowBlank="1" showInputMessage="1" showErrorMessage="1">
          <x14:formula1>
            <xm:f>'Reference Data_Comm. traders'!$E$16:$E$24</xm:f>
          </x14:formula1>
          <xm:sqref>E17</xm:sqref>
        </x14:dataValidation>
        <x14:dataValidation type="list" allowBlank="1" showInputMessage="1" showErrorMessage="1">
          <x14:formula1>
            <xm:f>'Reference Data_Comm. traders'!$E$5:$E$13</xm:f>
          </x14:formula1>
          <xm:sqref>E15</xm:sqref>
        </x14:dataValidation>
        <x14:dataValidation type="list" allowBlank="1" showInputMessage="1" showErrorMessage="1">
          <x14:formula1>
            <xm:f>'Reference Data_Comm. traders'!$E$38:$E$46</xm:f>
          </x14:formula1>
          <xm:sqref>E21</xm:sqref>
        </x14:dataValidation>
        <x14:dataValidation type="list" allowBlank="1" showInputMessage="1" showErrorMessage="1">
          <x14:formula1>
            <xm:f>'Reference Data_General'!$B$6:$B$112</xm:f>
          </x14:formula1>
          <xm:sqref>E11</xm:sqref>
        </x14:dataValidation>
        <x14:dataValidation type="list" allowBlank="1" showInputMessage="1" showErrorMessage="1">
          <x14:formula1>
            <xm:f>'Reference Data_Comm. traders'!$E$27:$E$35</xm:f>
          </x14:formula1>
          <xm:sqref>E19</xm:sqref>
        </x14:dataValidation>
        <x14:dataValidation type="list" allowBlank="1" showInputMessage="1" showErrorMessage="1">
          <x14:formula1>
            <xm:f>'Reference Data_Comm. traders 2'!$B$5:$B$13</xm:f>
          </x14:formula1>
          <xm:sqref>E44</xm:sqref>
        </x14:dataValidation>
        <x14:dataValidation type="list" allowBlank="1" showInputMessage="1" showErrorMessage="1">
          <x14:formula1>
            <xm:f>'Reference Data_Comm. traders 2'!$E$5:$E$13</xm:f>
          </x14:formula1>
          <xm:sqref>E48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K62"/>
  <sheetViews>
    <sheetView view="pageBreakPreview" topLeftCell="A19" zoomScaleNormal="115" zoomScaleSheetLayoutView="100" workbookViewId="0">
      <selection activeCell="E18" sqref="E18"/>
    </sheetView>
  </sheetViews>
  <sheetFormatPr defaultRowHeight="14.25" outlineLevelCol="1" x14ac:dyDescent="0.2"/>
  <cols>
    <col min="1" max="1" width="9.140625" style="1"/>
    <col min="2" max="2" width="4.140625" style="1" customWidth="1"/>
    <col min="3" max="3" width="3.140625" style="1" customWidth="1"/>
    <col min="4" max="4" width="25.140625" style="1" customWidth="1"/>
    <col min="5" max="6" width="12.42578125" style="1" customWidth="1" outlineLevel="1"/>
    <col min="7" max="11" width="12.42578125" style="1" customWidth="1"/>
    <col min="12" max="16384" width="9.140625" style="1"/>
  </cols>
  <sheetData>
    <row r="1" spans="1:11" s="12" customFormat="1" x14ac:dyDescent="0.2">
      <c r="A1" s="329" t="str">
        <f>Cover!A4</f>
        <v>Saras Group</v>
      </c>
      <c r="B1" s="329"/>
      <c r="C1" s="329"/>
      <c r="D1" s="329"/>
      <c r="E1" s="330" t="str">
        <f>Cover!A2</f>
        <v>Daniel Dunai</v>
      </c>
      <c r="F1" s="330"/>
      <c r="G1" s="12" t="str">
        <f>Cover!A15</f>
        <v>EUR</v>
      </c>
      <c r="I1" s="328">
        <f>Cover!A13</f>
        <v>41928</v>
      </c>
      <c r="J1" s="328"/>
    </row>
    <row r="2" spans="1:11" ht="18" x14ac:dyDescent="0.25">
      <c r="B2" s="3" t="s">
        <v>472</v>
      </c>
    </row>
    <row r="3" spans="1:11" ht="15" customHeight="1" x14ac:dyDescent="0.25">
      <c r="B3" s="3"/>
      <c r="G3" s="1" t="s">
        <v>3</v>
      </c>
    </row>
    <row r="4" spans="1:11" x14ac:dyDescent="0.2">
      <c r="E4" s="256" t="str">
        <f>Cover!A8</f>
        <v>H1 2014</v>
      </c>
      <c r="F4" s="256" t="str">
        <f>Cover!B8</f>
        <v>H1 2013</v>
      </c>
      <c r="G4" s="256" t="str">
        <f>Cover!C8</f>
        <v>12/31/2013</v>
      </c>
      <c r="H4" s="256" t="str">
        <f>Cover!D8</f>
        <v>12/31/2012</v>
      </c>
      <c r="I4" s="256">
        <f>Cover!E8</f>
        <v>0</v>
      </c>
      <c r="J4" s="256">
        <f>Cover!F8</f>
        <v>0</v>
      </c>
      <c r="K4" s="256">
        <f>Cover!G8</f>
        <v>0</v>
      </c>
    </row>
    <row r="5" spans="1:11" ht="9" customHeight="1" x14ac:dyDescent="0.2">
      <c r="D5" s="315"/>
      <c r="E5" s="6"/>
      <c r="F5" s="6"/>
      <c r="G5" s="6"/>
      <c r="H5" s="6"/>
      <c r="I5" s="6"/>
      <c r="J5" s="6"/>
      <c r="K5" s="6"/>
    </row>
    <row r="6" spans="1:11" x14ac:dyDescent="0.2">
      <c r="B6" s="326" t="s">
        <v>15</v>
      </c>
      <c r="C6" s="326"/>
      <c r="D6" s="326"/>
      <c r="E6" s="306">
        <f>E27+E26+E25+E24+E10</f>
        <v>3.9470000000000063</v>
      </c>
      <c r="F6" s="306">
        <f t="shared" ref="F6:K6" si="0">F27+F26+F25+F24+F10</f>
        <v>13.817999999999957</v>
      </c>
      <c r="G6" s="306">
        <f t="shared" si="0"/>
        <v>83.078000000000017</v>
      </c>
      <c r="H6" s="306">
        <f t="shared" si="0"/>
        <v>258.72400000000005</v>
      </c>
      <c r="I6" s="306">
        <f t="shared" si="0"/>
        <v>0</v>
      </c>
      <c r="J6" s="306">
        <f t="shared" si="0"/>
        <v>0</v>
      </c>
      <c r="K6" s="306">
        <f t="shared" si="0"/>
        <v>0</v>
      </c>
    </row>
    <row r="7" spans="1:11" s="11" customFormat="1" ht="10.5" customHeight="1" x14ac:dyDescent="0.2">
      <c r="B7" s="312" t="s">
        <v>20</v>
      </c>
      <c r="C7" s="312"/>
      <c r="D7" s="312"/>
      <c r="E7" s="316" t="s">
        <v>491</v>
      </c>
      <c r="F7" s="307"/>
      <c r="G7" s="307">
        <f t="shared" ref="E7:J9" si="1">IF(AND(G6&lt;&gt;0,H6&lt;&gt;0),G6/H6-1,"")</f>
        <v>-0.67889333807455055</v>
      </c>
      <c r="H7" s="307" t="str">
        <f t="shared" si="1"/>
        <v/>
      </c>
      <c r="I7" s="307" t="str">
        <f t="shared" si="1"/>
        <v/>
      </c>
      <c r="J7" s="307" t="str">
        <f t="shared" si="1"/>
        <v/>
      </c>
      <c r="K7" s="308"/>
    </row>
    <row r="8" spans="1:11" x14ac:dyDescent="0.2">
      <c r="B8" s="326" t="s">
        <v>16</v>
      </c>
      <c r="C8" s="326"/>
      <c r="D8" s="326"/>
      <c r="E8" s="306">
        <f>E27+E26+E25+E24</f>
        <v>15.647000000000006</v>
      </c>
      <c r="F8" s="306">
        <f t="shared" ref="F8:K8" si="2">F27+F26+F25+F24</f>
        <v>28.258999999999958</v>
      </c>
      <c r="G8" s="306">
        <f t="shared" si="2"/>
        <v>71.581000000000017</v>
      </c>
      <c r="H8" s="306">
        <f t="shared" si="2"/>
        <v>176.04600000000002</v>
      </c>
      <c r="I8" s="306">
        <f t="shared" si="2"/>
        <v>0</v>
      </c>
      <c r="J8" s="306">
        <f t="shared" si="2"/>
        <v>0</v>
      </c>
      <c r="K8" s="306">
        <f t="shared" si="2"/>
        <v>0</v>
      </c>
    </row>
    <row r="9" spans="1:11" s="11" customFormat="1" ht="10.5" customHeight="1" x14ac:dyDescent="0.2">
      <c r="B9" s="312" t="s">
        <v>20</v>
      </c>
      <c r="C9" s="312"/>
      <c r="D9" s="312"/>
      <c r="E9" s="307">
        <f t="shared" si="1"/>
        <v>-0.44630029371173685</v>
      </c>
      <c r="F9" s="307"/>
      <c r="G9" s="307">
        <f t="shared" ref="G9:J9" si="3">IF(AND(G8&lt;&gt;0,H8&lt;&gt;0),G8/H8-1,"")</f>
        <v>-0.59339604421571623</v>
      </c>
      <c r="H9" s="307" t="str">
        <f t="shared" si="3"/>
        <v/>
      </c>
      <c r="I9" s="307" t="str">
        <f t="shared" si="3"/>
        <v/>
      </c>
      <c r="J9" s="307" t="str">
        <f t="shared" si="3"/>
        <v/>
      </c>
      <c r="K9" s="308"/>
    </row>
    <row r="10" spans="1:11" x14ac:dyDescent="0.2">
      <c r="B10" s="313" t="s">
        <v>17</v>
      </c>
      <c r="C10" s="309"/>
      <c r="D10" s="309"/>
      <c r="E10" s="306">
        <f>SUM(E13:E22)</f>
        <v>-11.7</v>
      </c>
      <c r="F10" s="306">
        <f t="shared" ref="F10:K10" si="4">SUM(F13:F22)</f>
        <v>-14.441000000000001</v>
      </c>
      <c r="G10" s="306">
        <f t="shared" si="4"/>
        <v>11.497</v>
      </c>
      <c r="H10" s="306">
        <f t="shared" si="4"/>
        <v>82.677999999999997</v>
      </c>
      <c r="I10" s="306">
        <f t="shared" si="4"/>
        <v>0</v>
      </c>
      <c r="J10" s="306">
        <f t="shared" si="4"/>
        <v>0</v>
      </c>
      <c r="K10" s="306">
        <f t="shared" si="4"/>
        <v>0</v>
      </c>
    </row>
    <row r="11" spans="1:11" ht="8.25" customHeight="1" x14ac:dyDescent="0.2">
      <c r="B11" s="5"/>
      <c r="E11" s="310"/>
      <c r="F11" s="310"/>
      <c r="G11" s="310"/>
      <c r="H11" s="310"/>
      <c r="I11" s="310"/>
      <c r="J11" s="310"/>
      <c r="K11" s="310"/>
    </row>
    <row r="12" spans="1:11" x14ac:dyDescent="0.2">
      <c r="B12" s="5"/>
      <c r="D12" s="1" t="s">
        <v>18</v>
      </c>
      <c r="E12" s="10" t="s">
        <v>19</v>
      </c>
      <c r="F12" s="10" t="s">
        <v>19</v>
      </c>
      <c r="G12" s="10" t="s">
        <v>19</v>
      </c>
      <c r="H12" s="10" t="s">
        <v>19</v>
      </c>
      <c r="I12" s="10" t="s">
        <v>19</v>
      </c>
      <c r="J12" s="10" t="s">
        <v>19</v>
      </c>
      <c r="K12" s="10" t="s">
        <v>19</v>
      </c>
    </row>
    <row r="13" spans="1:11" ht="15" customHeight="1" x14ac:dyDescent="0.2">
      <c r="B13" s="327">
        <v>5</v>
      </c>
      <c r="C13" s="4" t="s">
        <v>5</v>
      </c>
      <c r="D13" s="8" t="s">
        <v>488</v>
      </c>
      <c r="E13" s="294">
        <v>1.2230000000000001</v>
      </c>
      <c r="F13" s="294"/>
      <c r="G13" s="294">
        <v>1.8320000000000001</v>
      </c>
      <c r="H13" s="294">
        <v>1.95</v>
      </c>
      <c r="I13" s="294"/>
      <c r="J13" s="294"/>
      <c r="K13" s="294"/>
    </row>
    <row r="14" spans="1:11" x14ac:dyDescent="0.2">
      <c r="B14" s="327"/>
      <c r="C14" s="4" t="s">
        <v>6</v>
      </c>
      <c r="D14" s="8" t="s">
        <v>490</v>
      </c>
      <c r="E14" s="294">
        <v>-2.7970000000000002</v>
      </c>
      <c r="F14" s="294">
        <v>-5.0000000000000001E-3</v>
      </c>
      <c r="G14" s="294">
        <v>-2.3450000000000002</v>
      </c>
      <c r="H14" s="294">
        <v>-1.841</v>
      </c>
      <c r="I14" s="294"/>
      <c r="J14" s="294"/>
      <c r="K14" s="294"/>
    </row>
    <row r="15" spans="1:11" x14ac:dyDescent="0.2">
      <c r="B15" s="327"/>
      <c r="C15" s="4" t="s">
        <v>7</v>
      </c>
      <c r="D15" s="8" t="s">
        <v>492</v>
      </c>
      <c r="E15" s="294">
        <v>-10.125999999999999</v>
      </c>
      <c r="F15" s="294">
        <v>-14.436</v>
      </c>
      <c r="G15" s="294">
        <v>-26.99</v>
      </c>
      <c r="H15" s="294">
        <v>-5.431</v>
      </c>
      <c r="I15" s="294"/>
      <c r="J15" s="294"/>
      <c r="K15" s="294"/>
    </row>
    <row r="16" spans="1:11" x14ac:dyDescent="0.2">
      <c r="B16" s="327"/>
      <c r="C16" s="4" t="s">
        <v>8</v>
      </c>
      <c r="D16" s="8" t="s">
        <v>493</v>
      </c>
      <c r="E16" s="294"/>
      <c r="F16" s="294"/>
      <c r="G16" s="294">
        <v>39</v>
      </c>
      <c r="H16" s="294">
        <v>88</v>
      </c>
      <c r="I16" s="294"/>
      <c r="J16" s="294"/>
      <c r="K16" s="294"/>
    </row>
    <row r="17" spans="2:11" ht="15" customHeight="1" x14ac:dyDescent="0.2">
      <c r="B17" s="327"/>
      <c r="C17" s="4" t="s">
        <v>9</v>
      </c>
      <c r="D17" s="8"/>
      <c r="E17" s="294"/>
      <c r="F17" s="294"/>
      <c r="G17" s="294"/>
      <c r="H17" s="294"/>
      <c r="I17" s="294"/>
      <c r="J17" s="294"/>
      <c r="K17" s="294"/>
    </row>
    <row r="18" spans="2:11" ht="14.25" customHeight="1" x14ac:dyDescent="0.2">
      <c r="B18" s="327"/>
      <c r="C18" s="4" t="s">
        <v>10</v>
      </c>
      <c r="D18" s="8"/>
      <c r="E18" s="294"/>
      <c r="F18" s="294"/>
      <c r="G18" s="294"/>
      <c r="H18" s="294"/>
      <c r="I18" s="294"/>
      <c r="J18" s="294"/>
      <c r="K18" s="294"/>
    </row>
    <row r="19" spans="2:11" ht="14.25" customHeight="1" x14ac:dyDescent="0.2">
      <c r="B19" s="327"/>
      <c r="C19" s="4" t="s">
        <v>11</v>
      </c>
      <c r="D19" s="8"/>
      <c r="E19" s="294"/>
      <c r="F19" s="294"/>
      <c r="G19" s="294"/>
      <c r="H19" s="294"/>
      <c r="I19" s="294"/>
      <c r="J19" s="294"/>
      <c r="K19" s="294"/>
    </row>
    <row r="20" spans="2:11" ht="14.25" customHeight="1" x14ac:dyDescent="0.2">
      <c r="B20" s="327"/>
      <c r="C20" s="4" t="s">
        <v>12</v>
      </c>
      <c r="D20" s="8"/>
      <c r="E20" s="294"/>
      <c r="F20" s="294"/>
      <c r="G20" s="294"/>
      <c r="H20" s="294"/>
      <c r="I20" s="294"/>
      <c r="J20" s="294"/>
      <c r="K20" s="294"/>
    </row>
    <row r="21" spans="2:11" ht="14.25" customHeight="1" x14ac:dyDescent="0.2">
      <c r="B21" s="327"/>
      <c r="C21" s="4" t="s">
        <v>13</v>
      </c>
      <c r="D21" s="8"/>
      <c r="E21" s="294"/>
      <c r="F21" s="294"/>
      <c r="G21" s="294"/>
      <c r="H21" s="294"/>
      <c r="I21" s="294"/>
      <c r="J21" s="294"/>
      <c r="K21" s="294"/>
    </row>
    <row r="22" spans="2:11" ht="14.25" customHeight="1" x14ac:dyDescent="0.2">
      <c r="B22" s="327"/>
      <c r="C22" s="4" t="s">
        <v>14</v>
      </c>
      <c r="D22" s="8"/>
      <c r="E22" s="294"/>
      <c r="F22" s="294"/>
      <c r="G22" s="294"/>
      <c r="H22" s="294"/>
      <c r="I22" s="294"/>
      <c r="J22" s="294"/>
      <c r="K22" s="294"/>
    </row>
    <row r="23" spans="2:11" ht="7.5" customHeight="1" x14ac:dyDescent="0.2">
      <c r="B23" s="9"/>
      <c r="C23" s="4"/>
      <c r="E23" s="311"/>
      <c r="F23" s="311"/>
      <c r="G23" s="311"/>
      <c r="H23" s="311"/>
      <c r="I23" s="311"/>
      <c r="J23" s="311"/>
      <c r="K23" s="311"/>
    </row>
    <row r="24" spans="2:11" ht="15" x14ac:dyDescent="0.25">
      <c r="C24" s="2">
        <v>4</v>
      </c>
      <c r="D24" s="309" t="s">
        <v>2</v>
      </c>
      <c r="E24" s="294">
        <v>97.936000000000007</v>
      </c>
      <c r="F24" s="294">
        <v>329.50799999999998</v>
      </c>
      <c r="G24" s="294">
        <v>425.74200000000002</v>
      </c>
      <c r="H24" s="294">
        <v>244.18600000000001</v>
      </c>
      <c r="I24" s="294"/>
      <c r="J24" s="294"/>
      <c r="K24" s="294"/>
    </row>
    <row r="25" spans="2:11" ht="15" x14ac:dyDescent="0.25">
      <c r="C25" s="2">
        <v>3</v>
      </c>
      <c r="D25" s="309" t="s">
        <v>4</v>
      </c>
      <c r="E25" s="294">
        <v>-27.739000000000001</v>
      </c>
      <c r="F25" s="294">
        <v>-103.5</v>
      </c>
      <c r="G25" s="294">
        <v>-112.52</v>
      </c>
      <c r="H25" s="294">
        <v>-31.448</v>
      </c>
      <c r="I25" s="294"/>
      <c r="J25" s="294"/>
      <c r="K25" s="294"/>
    </row>
    <row r="26" spans="2:11" ht="15" x14ac:dyDescent="0.25">
      <c r="C26" s="2">
        <v>2</v>
      </c>
      <c r="D26" s="309" t="s">
        <v>1</v>
      </c>
      <c r="E26" s="294">
        <f>101.173-72.386</f>
        <v>28.787000000000006</v>
      </c>
      <c r="F26" s="294">
        <f>122.503-118.995</f>
        <v>3.5079999999999956</v>
      </c>
      <c r="G26" s="294">
        <f>238.724-209.285</f>
        <v>29.438999999999993</v>
      </c>
      <c r="H26" s="294">
        <f>300.117-248.233</f>
        <v>51.884000000000015</v>
      </c>
      <c r="I26" s="294"/>
      <c r="J26" s="294"/>
      <c r="K26" s="294"/>
    </row>
    <row r="27" spans="2:11" ht="15" x14ac:dyDescent="0.25">
      <c r="C27" s="2">
        <v>1</v>
      </c>
      <c r="D27" s="309" t="s">
        <v>0</v>
      </c>
      <c r="E27" s="294">
        <v>-83.337000000000003</v>
      </c>
      <c r="F27" s="294">
        <v>-201.25700000000001</v>
      </c>
      <c r="G27" s="294">
        <v>-271.08</v>
      </c>
      <c r="H27" s="294">
        <v>-88.575999999999993</v>
      </c>
      <c r="I27" s="294"/>
      <c r="J27" s="294"/>
      <c r="K27" s="294"/>
    </row>
    <row r="28" spans="2:11" x14ac:dyDescent="0.2">
      <c r="E28" s="309"/>
      <c r="F28" s="309"/>
      <c r="G28" s="309"/>
      <c r="H28" s="309"/>
      <c r="I28" s="309"/>
      <c r="J28" s="309"/>
      <c r="K28" s="309"/>
    </row>
    <row r="29" spans="2:11" x14ac:dyDescent="0.2">
      <c r="E29" s="309"/>
      <c r="F29" s="309"/>
      <c r="G29" s="309"/>
      <c r="H29" s="309"/>
      <c r="I29" s="309"/>
      <c r="J29" s="309"/>
      <c r="K29" s="309"/>
    </row>
    <row r="30" spans="2:11" x14ac:dyDescent="0.2">
      <c r="D30" s="1" t="s">
        <v>21</v>
      </c>
      <c r="E30" s="309"/>
      <c r="F30" s="309"/>
      <c r="G30" s="309"/>
      <c r="H30" s="309"/>
      <c r="I30" s="309"/>
      <c r="J30" s="309"/>
      <c r="K30" s="309"/>
    </row>
    <row r="31" spans="2:11" x14ac:dyDescent="0.2">
      <c r="E31" s="309"/>
      <c r="F31" s="309"/>
      <c r="G31" s="309"/>
      <c r="H31" s="309"/>
      <c r="I31" s="309"/>
      <c r="J31" s="309"/>
      <c r="K31" s="309"/>
    </row>
    <row r="32" spans="2:11" x14ac:dyDescent="0.2">
      <c r="E32" s="309"/>
      <c r="F32" s="309"/>
      <c r="G32" s="309"/>
      <c r="H32" s="309"/>
      <c r="I32" s="309"/>
      <c r="J32" s="309"/>
      <c r="K32" s="309"/>
    </row>
    <row r="33" spans="2:11" x14ac:dyDescent="0.2">
      <c r="E33" s="309"/>
      <c r="F33" s="309"/>
      <c r="G33" s="309"/>
      <c r="H33" s="309"/>
      <c r="I33" s="309"/>
      <c r="J33" s="309"/>
      <c r="K33" s="309"/>
    </row>
    <row r="34" spans="2:11" ht="18" x14ac:dyDescent="0.25">
      <c r="B34" s="3" t="s">
        <v>473</v>
      </c>
      <c r="C34" s="20"/>
      <c r="D34" s="20"/>
      <c r="E34" s="309"/>
      <c r="F34" s="309"/>
      <c r="G34" s="309"/>
      <c r="H34" s="309"/>
      <c r="I34" s="309"/>
      <c r="J34" s="309"/>
      <c r="K34" s="309"/>
    </row>
    <row r="35" spans="2:11" ht="18" x14ac:dyDescent="0.25">
      <c r="B35" s="3"/>
      <c r="C35" s="20"/>
      <c r="D35" s="20"/>
      <c r="E35" s="309"/>
      <c r="F35" s="309"/>
      <c r="G35" s="309" t="s">
        <v>3</v>
      </c>
      <c r="H35" s="309"/>
      <c r="I35" s="309"/>
      <c r="J35" s="309"/>
      <c r="K35" s="309"/>
    </row>
    <row r="36" spans="2:11" s="20" customFormat="1" x14ac:dyDescent="0.2">
      <c r="E36" s="256" t="str">
        <f>Cover!A8</f>
        <v>H1 2014</v>
      </c>
      <c r="F36" s="256" t="str">
        <f>Cover!B8</f>
        <v>H1 2013</v>
      </c>
      <c r="G36" s="256" t="str">
        <f>Cover!C8</f>
        <v>12/31/2013</v>
      </c>
      <c r="H36" s="256" t="str">
        <f>Cover!D8</f>
        <v>12/31/2012</v>
      </c>
      <c r="I36" s="256">
        <f>Cover!E8</f>
        <v>0</v>
      </c>
      <c r="J36" s="256">
        <f>Cover!F8</f>
        <v>0</v>
      </c>
      <c r="K36" s="256">
        <f>Cover!G8</f>
        <v>0</v>
      </c>
    </row>
    <row r="37" spans="2:11" s="20" customFormat="1" ht="9" customHeight="1" x14ac:dyDescent="0.2">
      <c r="D37" s="315"/>
      <c r="E37" s="6"/>
      <c r="F37" s="6"/>
      <c r="G37" s="6"/>
      <c r="H37" s="6"/>
      <c r="I37" s="6"/>
      <c r="J37" s="6"/>
      <c r="K37" s="6"/>
    </row>
    <row r="38" spans="2:11" s="20" customFormat="1" x14ac:dyDescent="0.2">
      <c r="B38" s="326" t="s">
        <v>15</v>
      </c>
      <c r="C38" s="326"/>
      <c r="D38" s="326"/>
      <c r="E38" s="306">
        <f>E59+E58+E57+E56+E42</f>
        <v>5.4110744005593467</v>
      </c>
      <c r="F38" s="306">
        <f t="shared" ref="F38:K38" si="5">F59+F58+F57+F56+F42</f>
        <v>18.141834008389523</v>
      </c>
      <c r="G38" s="306">
        <f t="shared" si="5"/>
        <v>110.29419574106529</v>
      </c>
      <c r="H38" s="306">
        <f t="shared" si="5"/>
        <v>332.48388817137982</v>
      </c>
      <c r="I38" s="306">
        <f t="shared" si="5"/>
        <v>0</v>
      </c>
      <c r="J38" s="306">
        <f t="shared" si="5"/>
        <v>0</v>
      </c>
      <c r="K38" s="306">
        <f t="shared" si="5"/>
        <v>0</v>
      </c>
    </row>
    <row r="39" spans="2:11" s="25" customFormat="1" ht="10.5" customHeight="1" x14ac:dyDescent="0.2">
      <c r="B39" s="312" t="s">
        <v>20</v>
      </c>
      <c r="C39" s="312"/>
      <c r="D39" s="312"/>
      <c r="E39" s="316" t="s">
        <v>489</v>
      </c>
      <c r="F39" s="307">
        <f t="shared" ref="F39" si="6">IF(AND(F38&lt;&gt;0,G38&lt;&gt;0),F38/G38-1,"")</f>
        <v>-0.8355141547885202</v>
      </c>
      <c r="G39" s="307">
        <f t="shared" ref="G39" si="7">IF(AND(G38&lt;&gt;0,H38&lt;&gt;0),G38/H38-1,"")</f>
        <v>-0.66827205869231832</v>
      </c>
      <c r="H39" s="307" t="str">
        <f t="shared" ref="H39" si="8">IF(AND(H38&lt;&gt;0,I38&lt;&gt;0),H38/I38-1,"")</f>
        <v/>
      </c>
      <c r="I39" s="307" t="str">
        <f t="shared" ref="I39" si="9">IF(AND(I38&lt;&gt;0,J38&lt;&gt;0),I38/J38-1,"")</f>
        <v/>
      </c>
      <c r="J39" s="307" t="str">
        <f t="shared" ref="J39" si="10">IF(AND(J38&lt;&gt;0,K38&lt;&gt;0),J38/K38-1,"")</f>
        <v/>
      </c>
      <c r="K39" s="308"/>
    </row>
    <row r="40" spans="2:11" s="20" customFormat="1" x14ac:dyDescent="0.2">
      <c r="B40" s="326" t="s">
        <v>16</v>
      </c>
      <c r="C40" s="326"/>
      <c r="D40" s="326"/>
      <c r="E40" s="306">
        <f>E59+E58+E57+E56</f>
        <v>21.450995983164944</v>
      </c>
      <c r="F40" s="306">
        <f t="shared" ref="F40:K40" si="11">F59+F58+F57+F56</f>
        <v>37.101612913813824</v>
      </c>
      <c r="G40" s="306">
        <f t="shared" si="11"/>
        <v>95.03080027614044</v>
      </c>
      <c r="H40" s="306">
        <f t="shared" si="11"/>
        <v>226.23513310330208</v>
      </c>
      <c r="I40" s="306">
        <f t="shared" si="11"/>
        <v>0</v>
      </c>
      <c r="J40" s="306">
        <f t="shared" si="11"/>
        <v>0</v>
      </c>
      <c r="K40" s="306">
        <f t="shared" si="11"/>
        <v>0</v>
      </c>
    </row>
    <row r="41" spans="2:11" s="25" customFormat="1" ht="10.5" customHeight="1" x14ac:dyDescent="0.2">
      <c r="B41" s="312" t="s">
        <v>20</v>
      </c>
      <c r="C41" s="312"/>
      <c r="D41" s="312"/>
      <c r="E41" s="307">
        <f t="shared" ref="E41" si="12">IF(AND(E40&lt;&gt;0,F40&lt;&gt;0),E40/F40-1,"")</f>
        <v>-0.42183117394397096</v>
      </c>
      <c r="F41" s="307">
        <f t="shared" ref="F41" si="13">IF(AND(F40&lt;&gt;0,G40&lt;&gt;0),F40/G40-1,"")</f>
        <v>-0.60958328451403143</v>
      </c>
      <c r="G41" s="307">
        <f t="shared" ref="G41" si="14">IF(AND(G40&lt;&gt;0,H40&lt;&gt;0),G40/H40-1,"")</f>
        <v>-0.5799467617050087</v>
      </c>
      <c r="H41" s="307" t="str">
        <f t="shared" ref="H41" si="15">IF(AND(H40&lt;&gt;0,I40&lt;&gt;0),H40/I40-1,"")</f>
        <v/>
      </c>
      <c r="I41" s="307" t="str">
        <f t="shared" ref="I41" si="16">IF(AND(I40&lt;&gt;0,J40&lt;&gt;0),I40/J40-1,"")</f>
        <v/>
      </c>
      <c r="J41" s="307" t="str">
        <f t="shared" ref="J41" si="17">IF(AND(J40&lt;&gt;0,K40&lt;&gt;0),J40/K40-1,"")</f>
        <v/>
      </c>
      <c r="K41" s="308"/>
    </row>
    <row r="42" spans="2:11" s="20" customFormat="1" x14ac:dyDescent="0.2">
      <c r="B42" s="313" t="s">
        <v>17</v>
      </c>
      <c r="C42" s="309"/>
      <c r="D42" s="309"/>
      <c r="E42" s="306">
        <f>SUM(E45:E54)</f>
        <v>-16.039921582605597</v>
      </c>
      <c r="F42" s="306">
        <f t="shared" ref="F42:K42" si="18">SUM(F45:F54)</f>
        <v>-18.959778905424301</v>
      </c>
      <c r="G42" s="306">
        <f t="shared" si="18"/>
        <v>15.263395464924862</v>
      </c>
      <c r="H42" s="306">
        <f t="shared" si="18"/>
        <v>106.24875506807771</v>
      </c>
      <c r="I42" s="306">
        <f t="shared" si="18"/>
        <v>0</v>
      </c>
      <c r="J42" s="306">
        <f t="shared" si="18"/>
        <v>0</v>
      </c>
      <c r="K42" s="306">
        <f t="shared" si="18"/>
        <v>0</v>
      </c>
    </row>
    <row r="43" spans="2:11" s="20" customFormat="1" ht="8.25" customHeight="1" x14ac:dyDescent="0.2">
      <c r="B43" s="21"/>
      <c r="E43" s="310"/>
      <c r="F43" s="310"/>
      <c r="G43" s="310"/>
      <c r="H43" s="310"/>
      <c r="I43" s="310"/>
      <c r="J43" s="310"/>
      <c r="K43" s="310"/>
    </row>
    <row r="44" spans="2:11" s="20" customFormat="1" x14ac:dyDescent="0.2">
      <c r="B44" s="21"/>
      <c r="D44" s="20" t="s">
        <v>18</v>
      </c>
      <c r="E44" s="10" t="s">
        <v>19</v>
      </c>
      <c r="F44" s="10" t="s">
        <v>19</v>
      </c>
      <c r="G44" s="10" t="s">
        <v>19</v>
      </c>
      <c r="H44" s="10" t="s">
        <v>19</v>
      </c>
      <c r="I44" s="10" t="s">
        <v>19</v>
      </c>
      <c r="J44" s="10" t="s">
        <v>19</v>
      </c>
      <c r="K44" s="10" t="s">
        <v>19</v>
      </c>
    </row>
    <row r="45" spans="2:11" s="20" customFormat="1" ht="15" customHeight="1" x14ac:dyDescent="0.2">
      <c r="B45" s="327">
        <v>5</v>
      </c>
      <c r="C45" s="4" t="s">
        <v>5</v>
      </c>
      <c r="D45" s="23" t="str">
        <f>D13</f>
        <v>Unrealized exchange losses/(gains) on bank accounts</v>
      </c>
      <c r="E45" s="294">
        <f>E13/Cover!A$17</f>
        <v>1.6766516320962945</v>
      </c>
      <c r="F45" s="294">
        <f>F13/Cover!B$17</f>
        <v>0</v>
      </c>
      <c r="G45" s="294">
        <f>G13/Cover!C$17</f>
        <v>2.4321597366045351</v>
      </c>
      <c r="H45" s="294">
        <f>H13/Cover!D$17</f>
        <v>2.5059274823139353</v>
      </c>
      <c r="I45" s="294">
        <f>I13/Cover!E$17</f>
        <v>0</v>
      </c>
      <c r="J45" s="294">
        <f>J13/Cover!F$17</f>
        <v>0</v>
      </c>
      <c r="K45" s="294">
        <f>K13/Cover!G$17</f>
        <v>0</v>
      </c>
    </row>
    <row r="46" spans="2:11" s="20" customFormat="1" x14ac:dyDescent="0.2">
      <c r="B46" s="327"/>
      <c r="C46" s="4" t="s">
        <v>6</v>
      </c>
      <c r="D46" s="23" t="str">
        <f t="shared" ref="D46:D54" si="19">D14</f>
        <v>Recovery for claims and damages</v>
      </c>
      <c r="E46" s="294">
        <f>E14/Cover!A$17</f>
        <v>-3.8345009116707569</v>
      </c>
      <c r="F46" s="294">
        <f>F14/Cover!B$17</f>
        <v>-6.5645657867960325E-3</v>
      </c>
      <c r="G46" s="294">
        <f>G14/Cover!C$17</f>
        <v>-3.113217566778185</v>
      </c>
      <c r="H46" s="294">
        <f>H14/Cover!D$17</f>
        <v>-2.3658525615076691</v>
      </c>
      <c r="I46" s="294">
        <f>I14/Cover!E$17</f>
        <v>0</v>
      </c>
      <c r="J46" s="294">
        <f>J14/Cover!F$17</f>
        <v>0</v>
      </c>
      <c r="K46" s="294">
        <f>K14/Cover!G$17</f>
        <v>0</v>
      </c>
    </row>
    <row r="47" spans="2:11" s="20" customFormat="1" x14ac:dyDescent="0.2">
      <c r="B47" s="327"/>
      <c r="C47" s="4" t="s">
        <v>7</v>
      </c>
      <c r="D47" s="23" t="str">
        <f t="shared" si="19"/>
        <v>Change in fair value of derivatives, green certificates</v>
      </c>
      <c r="E47" s="294">
        <f>E15/Cover!A$17</f>
        <v>-13.882072303031133</v>
      </c>
      <c r="F47" s="294">
        <f>F15/Cover!B$17</f>
        <v>-18.953214339637505</v>
      </c>
      <c r="G47" s="294">
        <f>G15/Cover!C$17</f>
        <v>-35.831872975412878</v>
      </c>
      <c r="H47" s="294">
        <f>H15/Cover!D$17</f>
        <v>-6.9793293109984518</v>
      </c>
      <c r="I47" s="294">
        <f>I15/Cover!E$17</f>
        <v>0</v>
      </c>
      <c r="J47" s="294">
        <f>J15/Cover!F$17</f>
        <v>0</v>
      </c>
      <c r="K47" s="294">
        <f>K15/Cover!G$17</f>
        <v>0</v>
      </c>
    </row>
    <row r="48" spans="2:11" s="20" customFormat="1" x14ac:dyDescent="0.2">
      <c r="B48" s="327"/>
      <c r="C48" s="4" t="s">
        <v>8</v>
      </c>
      <c r="D48" s="23" t="str">
        <f t="shared" si="19"/>
        <v>EBITDA addback due to scheduled refinery maintenance</v>
      </c>
      <c r="E48" s="294">
        <f>E16/Cover!A$17</f>
        <v>0</v>
      </c>
      <c r="F48" s="294">
        <f>F16/Cover!B$17</f>
        <v>0</v>
      </c>
      <c r="G48" s="294">
        <f>G16/Cover!C$17</f>
        <v>51.77632627051139</v>
      </c>
      <c r="H48" s="294">
        <f>H16/Cover!D$17</f>
        <v>113.08800945826989</v>
      </c>
      <c r="I48" s="294">
        <f>I16/Cover!E$17</f>
        <v>0</v>
      </c>
      <c r="J48" s="294">
        <f>J16/Cover!F$17</f>
        <v>0</v>
      </c>
      <c r="K48" s="294">
        <f>K16/Cover!G$17</f>
        <v>0</v>
      </c>
    </row>
    <row r="49" spans="2:11" s="20" customFormat="1" ht="15" customHeight="1" x14ac:dyDescent="0.2">
      <c r="B49" s="327"/>
      <c r="C49" s="4" t="s">
        <v>9</v>
      </c>
      <c r="D49" s="23">
        <f t="shared" si="19"/>
        <v>0</v>
      </c>
      <c r="E49" s="294">
        <f>E17/Cover!A$17</f>
        <v>0</v>
      </c>
      <c r="F49" s="294">
        <f>F17/Cover!B$17</f>
        <v>0</v>
      </c>
      <c r="G49" s="294">
        <f>G17/Cover!C$17</f>
        <v>0</v>
      </c>
      <c r="H49" s="294">
        <f>H17/Cover!D$17</f>
        <v>0</v>
      </c>
      <c r="I49" s="294">
        <f>I17/Cover!E$17</f>
        <v>0</v>
      </c>
      <c r="J49" s="294">
        <f>J17/Cover!F$17</f>
        <v>0</v>
      </c>
      <c r="K49" s="294">
        <f>K17/Cover!G$17</f>
        <v>0</v>
      </c>
    </row>
    <row r="50" spans="2:11" s="20" customFormat="1" ht="14.25" customHeight="1" x14ac:dyDescent="0.2">
      <c r="B50" s="327"/>
      <c r="C50" s="4" t="s">
        <v>10</v>
      </c>
      <c r="D50" s="23">
        <f t="shared" si="19"/>
        <v>0</v>
      </c>
      <c r="E50" s="294">
        <f>E18/Cover!A$17</f>
        <v>0</v>
      </c>
      <c r="F50" s="294">
        <f>F18/Cover!B$17</f>
        <v>0</v>
      </c>
      <c r="G50" s="294">
        <f>G18/Cover!C$17</f>
        <v>0</v>
      </c>
      <c r="H50" s="294">
        <f>H18/Cover!D$17</f>
        <v>0</v>
      </c>
      <c r="I50" s="294">
        <f>I18/Cover!E$17</f>
        <v>0</v>
      </c>
      <c r="J50" s="294">
        <f>J18/Cover!F$17</f>
        <v>0</v>
      </c>
      <c r="K50" s="294">
        <f>K18/Cover!G$17</f>
        <v>0</v>
      </c>
    </row>
    <row r="51" spans="2:11" s="20" customFormat="1" ht="14.25" customHeight="1" x14ac:dyDescent="0.2">
      <c r="B51" s="327"/>
      <c r="C51" s="4" t="s">
        <v>11</v>
      </c>
      <c r="D51" s="23">
        <f t="shared" si="19"/>
        <v>0</v>
      </c>
      <c r="E51" s="294">
        <f>E19/Cover!A$17</f>
        <v>0</v>
      </c>
      <c r="F51" s="294">
        <f>F19/Cover!B$17</f>
        <v>0</v>
      </c>
      <c r="G51" s="294">
        <f>G19/Cover!C$17</f>
        <v>0</v>
      </c>
      <c r="H51" s="294">
        <f>H19/Cover!D$17</f>
        <v>0</v>
      </c>
      <c r="I51" s="294">
        <f>I19/Cover!E$17</f>
        <v>0</v>
      </c>
      <c r="J51" s="294">
        <f>J19/Cover!F$17</f>
        <v>0</v>
      </c>
      <c r="K51" s="294">
        <f>K19/Cover!G$17</f>
        <v>0</v>
      </c>
    </row>
    <row r="52" spans="2:11" s="20" customFormat="1" ht="14.25" customHeight="1" x14ac:dyDescent="0.2">
      <c r="B52" s="327"/>
      <c r="C52" s="4" t="s">
        <v>12</v>
      </c>
      <c r="D52" s="23">
        <f t="shared" si="19"/>
        <v>0</v>
      </c>
      <c r="E52" s="294">
        <f>E20/Cover!A$17</f>
        <v>0</v>
      </c>
      <c r="F52" s="294">
        <f>F20/Cover!B$17</f>
        <v>0</v>
      </c>
      <c r="G52" s="294">
        <f>G20/Cover!C$17</f>
        <v>0</v>
      </c>
      <c r="H52" s="294">
        <f>H20/Cover!D$17</f>
        <v>0</v>
      </c>
      <c r="I52" s="294">
        <f>I20/Cover!E$17</f>
        <v>0</v>
      </c>
      <c r="J52" s="294">
        <f>J20/Cover!F$17</f>
        <v>0</v>
      </c>
      <c r="K52" s="294">
        <f>K20/Cover!G$17</f>
        <v>0</v>
      </c>
    </row>
    <row r="53" spans="2:11" s="20" customFormat="1" ht="14.25" customHeight="1" x14ac:dyDescent="0.2">
      <c r="B53" s="327"/>
      <c r="C53" s="4" t="s">
        <v>13</v>
      </c>
      <c r="D53" s="23">
        <f t="shared" si="19"/>
        <v>0</v>
      </c>
      <c r="E53" s="294">
        <f>E21/Cover!A$17</f>
        <v>0</v>
      </c>
      <c r="F53" s="294">
        <f>F21/Cover!B$17</f>
        <v>0</v>
      </c>
      <c r="G53" s="294">
        <f>G21/Cover!C$17</f>
        <v>0</v>
      </c>
      <c r="H53" s="294">
        <f>H21/Cover!D$17</f>
        <v>0</v>
      </c>
      <c r="I53" s="294">
        <f>I21/Cover!E$17</f>
        <v>0</v>
      </c>
      <c r="J53" s="294">
        <f>J21/Cover!F$17</f>
        <v>0</v>
      </c>
      <c r="K53" s="294">
        <f>K21/Cover!G$17</f>
        <v>0</v>
      </c>
    </row>
    <row r="54" spans="2:11" s="20" customFormat="1" ht="14.25" customHeight="1" x14ac:dyDescent="0.2">
      <c r="B54" s="327"/>
      <c r="C54" s="4" t="s">
        <v>14</v>
      </c>
      <c r="D54" s="23">
        <f t="shared" si="19"/>
        <v>0</v>
      </c>
      <c r="E54" s="294">
        <f>E22/Cover!A$17</f>
        <v>0</v>
      </c>
      <c r="F54" s="294">
        <f>F22/Cover!B$17</f>
        <v>0</v>
      </c>
      <c r="G54" s="294">
        <f>G22/Cover!C$17</f>
        <v>0</v>
      </c>
      <c r="H54" s="294">
        <f>H22/Cover!D$17</f>
        <v>0</v>
      </c>
      <c r="I54" s="294">
        <f>I22/Cover!E$17</f>
        <v>0</v>
      </c>
      <c r="J54" s="294">
        <f>J22/Cover!F$17</f>
        <v>0</v>
      </c>
      <c r="K54" s="294">
        <f>K22/Cover!G$17</f>
        <v>0</v>
      </c>
    </row>
    <row r="55" spans="2:11" s="20" customFormat="1" ht="7.5" customHeight="1" x14ac:dyDescent="0.2">
      <c r="B55" s="314"/>
      <c r="C55" s="4"/>
      <c r="E55" s="311"/>
      <c r="F55" s="311"/>
      <c r="G55" s="311"/>
      <c r="H55" s="311"/>
      <c r="I55" s="311"/>
      <c r="J55" s="311"/>
      <c r="K55" s="311"/>
    </row>
    <row r="56" spans="2:11" s="20" customFormat="1" ht="15" x14ac:dyDescent="0.25">
      <c r="C56" s="2">
        <v>4</v>
      </c>
      <c r="D56" s="309" t="s">
        <v>2</v>
      </c>
      <c r="E56" s="294">
        <f>E24/Cover!A$17</f>
        <v>134.26374018068904</v>
      </c>
      <c r="F56" s="294">
        <f>F24/Cover!B$17</f>
        <v>432.61538865511739</v>
      </c>
      <c r="G56" s="294">
        <f>G24/Cover!C$17</f>
        <v>565.21427433487338</v>
      </c>
      <c r="H56" s="294">
        <f>H24/Cover!D$17</f>
        <v>313.80123497246694</v>
      </c>
      <c r="I56" s="294">
        <f>I24/Cover!E$17</f>
        <v>0</v>
      </c>
      <c r="J56" s="294">
        <f>J24/Cover!F$17</f>
        <v>0</v>
      </c>
      <c r="K56" s="294">
        <f>K24/Cover!G$17</f>
        <v>0</v>
      </c>
    </row>
    <row r="57" spans="2:11" s="20" customFormat="1" ht="15" x14ac:dyDescent="0.25">
      <c r="C57" s="2">
        <v>3</v>
      </c>
      <c r="D57" s="309" t="s">
        <v>4</v>
      </c>
      <c r="E57" s="294">
        <f>E25/Cover!A$17</f>
        <v>-38.02832348546125</v>
      </c>
      <c r="F57" s="294">
        <f>F25/Cover!B$17</f>
        <v>-135.88651178667786</v>
      </c>
      <c r="G57" s="294">
        <f>G25/Cover!C$17</f>
        <v>-149.38133928097287</v>
      </c>
      <c r="H57" s="294">
        <f>H25/Cover!D$17</f>
        <v>-40.413542289132629</v>
      </c>
      <c r="I57" s="294">
        <f>I25/Cover!E$17</f>
        <v>0</v>
      </c>
      <c r="J57" s="294">
        <f>J25/Cover!F$17</f>
        <v>0</v>
      </c>
      <c r="K57" s="294">
        <f>K25/Cover!G$17</f>
        <v>0</v>
      </c>
    </row>
    <row r="58" spans="2:11" s="20" customFormat="1" ht="15" x14ac:dyDescent="0.25">
      <c r="C58" s="2">
        <v>2</v>
      </c>
      <c r="D58" s="309" t="s">
        <v>1</v>
      </c>
      <c r="E58" s="294">
        <f>E26/Cover!A$17</f>
        <v>39.465061760552764</v>
      </c>
      <c r="F58" s="294">
        <f>F26/Cover!B$17</f>
        <v>4.6056993560160899</v>
      </c>
      <c r="G58" s="294">
        <f>G26/Cover!C$17</f>
        <v>39.083160745579086</v>
      </c>
      <c r="H58" s="294">
        <f>H26/Cover!D$17</f>
        <v>66.675662303782687</v>
      </c>
      <c r="I58" s="294">
        <f>I26/Cover!E$17</f>
        <v>0</v>
      </c>
      <c r="J58" s="294">
        <f>J26/Cover!F$17</f>
        <v>0</v>
      </c>
      <c r="K58" s="294">
        <f>K26/Cover!G$17</f>
        <v>0</v>
      </c>
    </row>
    <row r="59" spans="2:11" s="20" customFormat="1" ht="15" x14ac:dyDescent="0.25">
      <c r="C59" s="2">
        <v>1</v>
      </c>
      <c r="D59" s="309" t="s">
        <v>0</v>
      </c>
      <c r="E59" s="294">
        <f>E27/Cover!A$17</f>
        <v>-114.24948247261561</v>
      </c>
      <c r="F59" s="294">
        <f>F27/Cover!B$17</f>
        <v>-264.23296331064182</v>
      </c>
      <c r="G59" s="294">
        <f>G27/Cover!C$17</f>
        <v>-359.88529552333915</v>
      </c>
      <c r="H59" s="294">
        <f>H27/Cover!D$17</f>
        <v>-113.82822188381492</v>
      </c>
      <c r="I59" s="294">
        <f>I27/Cover!E$17</f>
        <v>0</v>
      </c>
      <c r="J59" s="294">
        <f>J27/Cover!F$17</f>
        <v>0</v>
      </c>
      <c r="K59" s="294">
        <f>K27/Cover!G$17</f>
        <v>0</v>
      </c>
    </row>
    <row r="62" spans="2:11" x14ac:dyDescent="0.2">
      <c r="D62" s="20" t="s">
        <v>21</v>
      </c>
    </row>
  </sheetData>
  <mergeCells count="9">
    <mergeCell ref="B38:D38"/>
    <mergeCell ref="B40:D40"/>
    <mergeCell ref="B45:B54"/>
    <mergeCell ref="I1:J1"/>
    <mergeCell ref="B13:B22"/>
    <mergeCell ref="B6:D6"/>
    <mergeCell ref="B8:D8"/>
    <mergeCell ref="A1:D1"/>
    <mergeCell ref="E1:F1"/>
  </mergeCells>
  <pageMargins left="0.7" right="0.7" top="0.75" bottom="0.75" header="0.3" footer="0.3"/>
  <pageSetup paperSize="9" scale="63"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23"/>
  <sheetViews>
    <sheetView view="pageBreakPreview" zoomScaleNormal="100" zoomScaleSheetLayoutView="100" workbookViewId="0">
      <selection activeCell="D17" sqref="D17"/>
    </sheetView>
  </sheetViews>
  <sheetFormatPr defaultRowHeight="14.25" outlineLevelCol="1" x14ac:dyDescent="0.2"/>
  <cols>
    <col min="1" max="3" width="9.140625" style="1"/>
    <col min="4" max="4" width="25.7109375" style="1" customWidth="1"/>
    <col min="5" max="5" width="17.42578125" style="1" customWidth="1"/>
    <col min="6" max="7" width="11.42578125" style="1" customWidth="1" outlineLevel="1"/>
    <col min="8" max="12" width="11.42578125" style="1" customWidth="1"/>
    <col min="13" max="16384" width="9.140625" style="1"/>
  </cols>
  <sheetData>
    <row r="1" spans="1:12" s="12" customFormat="1" x14ac:dyDescent="0.2">
      <c r="A1" s="329" t="str">
        <f>Cover!A4</f>
        <v>Saras Group</v>
      </c>
      <c r="B1" s="329"/>
      <c r="C1" s="329"/>
      <c r="D1" s="329"/>
      <c r="E1" s="13" t="str">
        <f>Cover!A2</f>
        <v>Daniel Dunai</v>
      </c>
      <c r="F1" s="13" t="str">
        <f>Cover!A15</f>
        <v>EUR</v>
      </c>
      <c r="I1" s="328">
        <f>Cover!A13</f>
        <v>41928</v>
      </c>
      <c r="J1" s="328"/>
    </row>
    <row r="2" spans="1:12" ht="18" x14ac:dyDescent="0.25">
      <c r="B2" s="3" t="s">
        <v>22</v>
      </c>
    </row>
    <row r="3" spans="1:12" x14ac:dyDescent="0.2">
      <c r="H3" s="1" t="s">
        <v>3</v>
      </c>
    </row>
    <row r="4" spans="1:12" x14ac:dyDescent="0.2">
      <c r="F4" s="256" t="str">
        <f>Cover!A8</f>
        <v>H1 2014</v>
      </c>
      <c r="G4" s="256" t="str">
        <f>Cover!B8</f>
        <v>H1 2013</v>
      </c>
      <c r="H4" s="256" t="str">
        <f>Cover!C8</f>
        <v>12/31/2013</v>
      </c>
      <c r="I4" s="256" t="str">
        <f>Cover!D8</f>
        <v>12/31/2012</v>
      </c>
      <c r="J4" s="256">
        <f>Cover!E8</f>
        <v>0</v>
      </c>
      <c r="K4" s="256">
        <f>Cover!F8</f>
        <v>0</v>
      </c>
      <c r="L4" s="256">
        <f>Cover!G8</f>
        <v>0</v>
      </c>
    </row>
    <row r="6" spans="1:12" x14ac:dyDescent="0.2">
      <c r="D6" s="5" t="s">
        <v>23</v>
      </c>
      <c r="E6" s="5"/>
      <c r="F6" s="294">
        <v>13.148999999999999</v>
      </c>
      <c r="G6" s="294">
        <v>124.508</v>
      </c>
      <c r="H6" s="294">
        <v>323.76</v>
      </c>
      <c r="I6" s="294">
        <v>536.28</v>
      </c>
      <c r="J6" s="294"/>
      <c r="K6" s="294"/>
      <c r="L6" s="294"/>
    </row>
    <row r="7" spans="1:12" x14ac:dyDescent="0.2">
      <c r="F7" s="309"/>
      <c r="G7" s="309"/>
      <c r="H7" s="309"/>
      <c r="I7" s="309"/>
      <c r="J7" s="309"/>
      <c r="K7" s="309"/>
      <c r="L7" s="309"/>
    </row>
    <row r="8" spans="1:12" ht="15" x14ac:dyDescent="0.25">
      <c r="D8" s="5" t="s">
        <v>24</v>
      </c>
      <c r="E8" s="14" t="s">
        <v>27</v>
      </c>
      <c r="F8" s="294">
        <v>128.06100000000001</v>
      </c>
      <c r="G8" s="294">
        <v>58.139000000000003</v>
      </c>
      <c r="H8" s="294">
        <v>149.39699999999999</v>
      </c>
      <c r="I8" s="294">
        <v>41.758000000000003</v>
      </c>
      <c r="J8" s="294"/>
      <c r="K8" s="294"/>
      <c r="L8" s="294"/>
    </row>
    <row r="9" spans="1:12" x14ac:dyDescent="0.2">
      <c r="E9" s="14" t="s">
        <v>28</v>
      </c>
      <c r="F9" s="294">
        <v>-75.531999999999996</v>
      </c>
      <c r="G9" s="294">
        <v>-59.661000000000001</v>
      </c>
      <c r="H9" s="294">
        <v>-5.1719999999999997</v>
      </c>
      <c r="I9" s="294">
        <v>233.459</v>
      </c>
      <c r="J9" s="294"/>
      <c r="K9" s="294"/>
      <c r="L9" s="294"/>
    </row>
    <row r="10" spans="1:12" x14ac:dyDescent="0.2">
      <c r="E10" s="14" t="s">
        <v>29</v>
      </c>
      <c r="F10" s="294">
        <v>-25.099</v>
      </c>
      <c r="G10" s="294">
        <v>92.605000000000004</v>
      </c>
      <c r="H10" s="294">
        <v>211.52500000000001</v>
      </c>
      <c r="I10" s="294">
        <v>204.34200000000001</v>
      </c>
      <c r="J10" s="294"/>
      <c r="K10" s="294"/>
      <c r="L10" s="294"/>
    </row>
    <row r="11" spans="1:12" x14ac:dyDescent="0.2">
      <c r="E11" s="14" t="s">
        <v>30</v>
      </c>
      <c r="F11" s="294"/>
      <c r="G11" s="294"/>
      <c r="H11" s="294"/>
      <c r="I11" s="294"/>
      <c r="J11" s="294"/>
      <c r="K11" s="294"/>
      <c r="L11" s="294"/>
    </row>
    <row r="12" spans="1:12" x14ac:dyDescent="0.2">
      <c r="E12" s="14" t="s">
        <v>31</v>
      </c>
      <c r="F12" s="294"/>
      <c r="G12" s="294"/>
      <c r="H12" s="294"/>
      <c r="I12" s="294"/>
      <c r="J12" s="294"/>
      <c r="K12" s="294"/>
      <c r="L12" s="294"/>
    </row>
    <row r="13" spans="1:12" x14ac:dyDescent="0.2">
      <c r="E13" s="14" t="s">
        <v>32</v>
      </c>
      <c r="F13" s="294"/>
      <c r="G13" s="294"/>
      <c r="H13" s="294"/>
      <c r="I13" s="294"/>
      <c r="J13" s="294"/>
      <c r="K13" s="294"/>
      <c r="L13" s="294"/>
    </row>
    <row r="14" spans="1:12" x14ac:dyDescent="0.2">
      <c r="E14" s="14" t="s">
        <v>33</v>
      </c>
      <c r="F14" s="294">
        <f>-26.17+76.886</f>
        <v>50.715999999999994</v>
      </c>
      <c r="G14" s="294">
        <f>-2.99+68.976</f>
        <v>65.986000000000004</v>
      </c>
      <c r="H14" s="294">
        <f>-7.485+11.005</f>
        <v>3.5200000000000005</v>
      </c>
      <c r="I14" s="294">
        <f>18.961+26.597</f>
        <v>45.558</v>
      </c>
      <c r="J14" s="294"/>
      <c r="K14" s="294"/>
      <c r="L14" s="294"/>
    </row>
    <row r="15" spans="1:12" x14ac:dyDescent="0.2">
      <c r="F15" s="309"/>
      <c r="G15" s="309"/>
      <c r="H15" s="309"/>
      <c r="I15" s="309"/>
      <c r="J15" s="309"/>
      <c r="K15" s="309"/>
      <c r="L15" s="309"/>
    </row>
    <row r="16" spans="1:12" x14ac:dyDescent="0.2">
      <c r="D16" s="5" t="s">
        <v>25</v>
      </c>
      <c r="E16" s="5"/>
      <c r="F16" s="306">
        <f>F9+F8+F10+F11+F12+F13+F14</f>
        <v>78.146000000000001</v>
      </c>
      <c r="G16" s="306">
        <f t="shared" ref="G16:L16" si="0">G8+G9+G10+G11+G12+G13+G14</f>
        <v>157.06900000000002</v>
      </c>
      <c r="H16" s="306">
        <f t="shared" si="0"/>
        <v>359.27</v>
      </c>
      <c r="I16" s="306">
        <f t="shared" si="0"/>
        <v>525.11699999999996</v>
      </c>
      <c r="J16" s="306">
        <f t="shared" si="0"/>
        <v>0</v>
      </c>
      <c r="K16" s="306">
        <f t="shared" si="0"/>
        <v>0</v>
      </c>
      <c r="L16" s="306">
        <f t="shared" si="0"/>
        <v>0</v>
      </c>
    </row>
    <row r="17" spans="4:12" x14ac:dyDescent="0.2">
      <c r="F17" s="309"/>
      <c r="G17" s="309"/>
      <c r="H17" s="309"/>
      <c r="I17" s="309"/>
      <c r="J17" s="309"/>
      <c r="K17" s="309"/>
      <c r="L17" s="309"/>
    </row>
    <row r="18" spans="4:12" s="20" customFormat="1" x14ac:dyDescent="0.2">
      <c r="D18" s="21" t="s">
        <v>80</v>
      </c>
      <c r="F18" s="306">
        <f>IF(F9&gt;0,F9,0)</f>
        <v>0</v>
      </c>
      <c r="G18" s="306">
        <f t="shared" ref="G18:L18" si="1">IF(G8&gt;0,G8,0)</f>
        <v>58.139000000000003</v>
      </c>
      <c r="H18" s="306">
        <f t="shared" si="1"/>
        <v>149.39699999999999</v>
      </c>
      <c r="I18" s="306">
        <f t="shared" si="1"/>
        <v>41.758000000000003</v>
      </c>
      <c r="J18" s="306">
        <f t="shared" si="1"/>
        <v>0</v>
      </c>
      <c r="K18" s="306">
        <f t="shared" si="1"/>
        <v>0</v>
      </c>
      <c r="L18" s="306">
        <f t="shared" si="1"/>
        <v>0</v>
      </c>
    </row>
    <row r="19" spans="4:12" s="20" customFormat="1" x14ac:dyDescent="0.2">
      <c r="D19" s="21" t="s">
        <v>100</v>
      </c>
      <c r="F19" s="306">
        <f>IF(F9&gt;0,F6-F9,F6)</f>
        <v>13.148999999999999</v>
      </c>
      <c r="G19" s="306">
        <f t="shared" ref="G19:L19" si="2">IF(G8&gt;0,G6-G8,G6)</f>
        <v>66.369</v>
      </c>
      <c r="H19" s="306">
        <f t="shared" si="2"/>
        <v>174.363</v>
      </c>
      <c r="I19" s="306">
        <f t="shared" si="2"/>
        <v>494.52199999999999</v>
      </c>
      <c r="J19" s="306">
        <f t="shared" si="2"/>
        <v>0</v>
      </c>
      <c r="K19" s="306">
        <f t="shared" si="2"/>
        <v>0</v>
      </c>
      <c r="L19" s="306">
        <f t="shared" si="2"/>
        <v>0</v>
      </c>
    </row>
    <row r="20" spans="4:12" x14ac:dyDescent="0.2">
      <c r="D20" s="5" t="s">
        <v>34</v>
      </c>
      <c r="F20" s="306">
        <f>+F6-F16</f>
        <v>-64.997</v>
      </c>
      <c r="G20" s="306">
        <f t="shared" ref="G20:L20" si="3">+G6-G16</f>
        <v>-32.561000000000021</v>
      </c>
      <c r="H20" s="306">
        <f t="shared" si="3"/>
        <v>-35.509999999999991</v>
      </c>
      <c r="I20" s="306">
        <f t="shared" si="3"/>
        <v>11.163000000000011</v>
      </c>
      <c r="J20" s="306">
        <f t="shared" si="3"/>
        <v>0</v>
      </c>
      <c r="K20" s="306">
        <f t="shared" si="3"/>
        <v>0</v>
      </c>
      <c r="L20" s="306">
        <f t="shared" si="3"/>
        <v>0</v>
      </c>
    </row>
    <row r="21" spans="4:12" x14ac:dyDescent="0.2">
      <c r="H21" s="1" t="s">
        <v>483</v>
      </c>
      <c r="I21" s="1" t="s">
        <v>494</v>
      </c>
      <c r="J21" s="1" t="s">
        <v>495</v>
      </c>
      <c r="K21" s="1" t="s">
        <v>496</v>
      </c>
    </row>
    <row r="22" spans="4:12" x14ac:dyDescent="0.2">
      <c r="H22" s="1">
        <v>124.508</v>
      </c>
      <c r="I22" s="1">
        <v>640.42899999999997</v>
      </c>
      <c r="J22" s="1">
        <v>536.28</v>
      </c>
      <c r="K22" s="1">
        <f>H22+J22-I22</f>
        <v>20.359000000000037</v>
      </c>
    </row>
    <row r="23" spans="4:12" x14ac:dyDescent="0.2">
      <c r="D23" s="1" t="s">
        <v>38</v>
      </c>
      <c r="H23" s="1">
        <v>13.1</v>
      </c>
      <c r="I23" s="1">
        <v>124.5</v>
      </c>
      <c r="J23" s="1">
        <v>323.8</v>
      </c>
      <c r="K23" s="20">
        <f>H23+J23-I23</f>
        <v>212.40000000000003</v>
      </c>
    </row>
  </sheetData>
  <mergeCells count="2">
    <mergeCell ref="A1:D1"/>
    <mergeCell ref="I1:J1"/>
  </mergeCells>
  <pageMargins left="0.7" right="0.7" top="0.75" bottom="0.75" header="0.3" footer="0.3"/>
  <pageSetup paperSize="9" scale="58"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R86"/>
  <sheetViews>
    <sheetView view="pageBreakPreview" zoomScale="85" zoomScaleNormal="55" zoomScaleSheetLayoutView="85" workbookViewId="0">
      <selection activeCell="C12" sqref="C12"/>
    </sheetView>
  </sheetViews>
  <sheetFormatPr defaultRowHeight="14.25" outlineLevelRow="1" outlineLevelCol="4" x14ac:dyDescent="0.2"/>
  <cols>
    <col min="1" max="1" width="41" style="1" customWidth="1"/>
    <col min="2" max="3" width="11" style="1" customWidth="1" outlineLevel="2"/>
    <col min="4" max="5" width="12.42578125" style="20" hidden="1" customWidth="1" outlineLevel="4"/>
    <col min="6" max="6" width="12.42578125" style="20" hidden="1" customWidth="1" outlineLevel="3"/>
    <col min="7" max="7" width="11" style="1" customWidth="1" outlineLevel="1" collapsed="1"/>
    <col min="8" max="9" width="11" style="1" customWidth="1"/>
    <col min="10" max="11" width="11" style="20" customWidth="1"/>
    <col min="12" max="12" width="9.140625" style="1"/>
    <col min="13" max="13" width="20" style="1" customWidth="1"/>
    <col min="14" max="18" width="10.85546875" style="1" customWidth="1"/>
    <col min="19" max="16384" width="9.140625" style="1"/>
  </cols>
  <sheetData>
    <row r="1" spans="1:18" s="20" customFormat="1" ht="10.5" customHeight="1" x14ac:dyDescent="0.2">
      <c r="A1" s="80" t="s">
        <v>388</v>
      </c>
      <c r="B1" s="242" t="str">
        <f>Cover!A9</f>
        <v>Y</v>
      </c>
      <c r="C1" s="242" t="str">
        <f>Cover!B9</f>
        <v>Y</v>
      </c>
      <c r="D1" s="242" t="s">
        <v>97</v>
      </c>
      <c r="E1" s="242" t="s">
        <v>97</v>
      </c>
      <c r="F1" s="367" t="s">
        <v>97</v>
      </c>
      <c r="G1" s="245" t="str">
        <f>Cover!C9</f>
        <v>Y</v>
      </c>
      <c r="H1" s="242" t="str">
        <f>Cover!D9</f>
        <v>Y</v>
      </c>
      <c r="I1" s="242">
        <f>Cover!E9</f>
        <v>0</v>
      </c>
      <c r="J1" s="242">
        <f>Cover!F9</f>
        <v>0</v>
      </c>
      <c r="K1" s="242">
        <f>Cover!G9</f>
        <v>0</v>
      </c>
    </row>
    <row r="2" spans="1:18" s="20" customFormat="1" ht="10.5" customHeight="1" x14ac:dyDescent="0.2">
      <c r="A2" s="80" t="s">
        <v>389</v>
      </c>
      <c r="B2" s="242" t="str">
        <f>Cover!A10</f>
        <v>PwC</v>
      </c>
      <c r="C2" s="242" t="str">
        <f>Cover!B10</f>
        <v>PwC</v>
      </c>
      <c r="D2" s="242" t="s">
        <v>97</v>
      </c>
      <c r="E2" s="242" t="s">
        <v>97</v>
      </c>
      <c r="F2" s="367" t="s">
        <v>97</v>
      </c>
      <c r="G2" s="245" t="str">
        <f>Cover!C10</f>
        <v>PwC</v>
      </c>
      <c r="H2" s="242" t="str">
        <f>Cover!D10</f>
        <v>PwC</v>
      </c>
      <c r="I2" s="242" t="str">
        <f>Cover!E10</f>
        <v>Auditor</v>
      </c>
      <c r="J2" s="242" t="str">
        <f>Cover!F10</f>
        <v>Auditor</v>
      </c>
      <c r="K2" s="242" t="str">
        <f>Cover!G10</f>
        <v>Auditor</v>
      </c>
    </row>
    <row r="3" spans="1:18" s="20" customFormat="1" ht="10.5" customHeight="1" x14ac:dyDescent="0.2">
      <c r="A3" s="80" t="s">
        <v>390</v>
      </c>
      <c r="B3" s="242" t="str">
        <f>Cover!A11</f>
        <v>Opinion</v>
      </c>
      <c r="C3" s="242" t="str">
        <f>Cover!B11</f>
        <v>Opinion</v>
      </c>
      <c r="D3" s="242" t="s">
        <v>97</v>
      </c>
      <c r="E3" s="242" t="s">
        <v>97</v>
      </c>
      <c r="F3" s="367" t="s">
        <v>97</v>
      </c>
      <c r="G3" s="245" t="str">
        <f>Cover!C11</f>
        <v>Unqualified</v>
      </c>
      <c r="H3" s="242" t="str">
        <f>Cover!D11</f>
        <v>Unqualified</v>
      </c>
      <c r="I3" s="242" t="str">
        <f>Cover!E11</f>
        <v>Opinion</v>
      </c>
      <c r="J3" s="242" t="str">
        <f>Cover!F11</f>
        <v>Opinion</v>
      </c>
      <c r="K3" s="242" t="str">
        <f>Cover!G11</f>
        <v>Opinion</v>
      </c>
    </row>
    <row r="4" spans="1:18" s="20" customFormat="1" ht="6.75" customHeight="1" outlineLevel="1" x14ac:dyDescent="0.2">
      <c r="A4" s="80"/>
      <c r="B4" s="242"/>
      <c r="C4" s="242"/>
      <c r="D4" s="242"/>
      <c r="E4" s="242"/>
      <c r="F4" s="367"/>
      <c r="G4" s="245"/>
      <c r="H4" s="242"/>
      <c r="I4" s="242"/>
      <c r="J4" s="242"/>
      <c r="K4" s="242"/>
    </row>
    <row r="5" spans="1:18" s="20" customFormat="1" ht="10.5" customHeight="1" outlineLevel="1" x14ac:dyDescent="0.2">
      <c r="A5" s="80" t="str">
        <f>Cover!A16</f>
        <v>Average exchange rate (EUR/USD)</v>
      </c>
      <c r="B5" s="242">
        <f>Cover!A17</f>
        <v>0.72943000000000002</v>
      </c>
      <c r="C5" s="242">
        <f>Cover!B17</f>
        <v>0.76166500000000004</v>
      </c>
      <c r="D5" s="242">
        <v>0.8</v>
      </c>
      <c r="E5" s="242">
        <v>0.8</v>
      </c>
      <c r="F5" s="367">
        <v>0.8</v>
      </c>
      <c r="G5" s="245">
        <f>Cover!C17</f>
        <v>0.75324000000000002</v>
      </c>
      <c r="H5" s="242">
        <f>Cover!D17</f>
        <v>0.77815499999999993</v>
      </c>
      <c r="I5" s="242">
        <f>Cover!E17</f>
        <v>0.71886499999999998</v>
      </c>
      <c r="J5" s="242">
        <f>Cover!F17</f>
        <v>0.75475999999999999</v>
      </c>
      <c r="K5" s="242">
        <f>Cover!G17</f>
        <v>0.719055</v>
      </c>
      <c r="M5" s="248"/>
    </row>
    <row r="6" spans="1:18" s="20" customFormat="1" ht="10.5" customHeight="1" outlineLevel="1" x14ac:dyDescent="0.2">
      <c r="A6" s="80" t="s">
        <v>401</v>
      </c>
      <c r="B6" s="275">
        <f>B5/C5-1</f>
        <v>-4.2321755627474089E-2</v>
      </c>
      <c r="C6" s="242"/>
      <c r="D6" s="366">
        <f>D5/E5-1</f>
        <v>0</v>
      </c>
      <c r="E6" s="366">
        <f>E5/F5-1</f>
        <v>0</v>
      </c>
      <c r="F6" s="366">
        <f>F5/G5-1</f>
        <v>6.2078487600233601E-2</v>
      </c>
      <c r="G6" s="276">
        <f>G5/H5-1</f>
        <v>-3.201804267787256E-2</v>
      </c>
      <c r="H6" s="275">
        <f t="shared" ref="H6:J6" si="0">H5/I5-1</f>
        <v>8.2477238424460753E-2</v>
      </c>
      <c r="I6" s="275">
        <f t="shared" si="0"/>
        <v>-4.7558164184641538E-2</v>
      </c>
      <c r="J6" s="275">
        <f t="shared" si="0"/>
        <v>4.965545055663334E-2</v>
      </c>
      <c r="K6" s="242"/>
    </row>
    <row r="7" spans="1:18" s="20" customFormat="1" ht="6.75" customHeight="1" x14ac:dyDescent="0.2">
      <c r="A7" s="80"/>
      <c r="B7" s="242"/>
      <c r="C7" s="242"/>
      <c r="D7" s="242"/>
      <c r="E7" s="242"/>
      <c r="F7" s="367"/>
      <c r="G7" s="245"/>
      <c r="H7" s="242"/>
      <c r="I7" s="242"/>
      <c r="J7" s="242"/>
      <c r="K7" s="242"/>
    </row>
    <row r="8" spans="1:18" x14ac:dyDescent="0.2">
      <c r="A8" s="1" t="str">
        <f>"Currency "&amp;Cover!A15&amp;" MM"</f>
        <v>Currency EUR MM</v>
      </c>
      <c r="B8" s="287" t="str">
        <f>Cover!A8</f>
        <v>H1 2014</v>
      </c>
      <c r="C8" s="287" t="str">
        <f>Cover!B8</f>
        <v>H1 2013</v>
      </c>
      <c r="D8" s="368" t="s">
        <v>498</v>
      </c>
      <c r="E8" s="368" t="s">
        <v>499</v>
      </c>
      <c r="F8" s="388" t="s">
        <v>500</v>
      </c>
      <c r="G8" s="288" t="str">
        <f>Cover!C8</f>
        <v>12/31/2013</v>
      </c>
      <c r="H8" s="287" t="str">
        <f>Cover!D8</f>
        <v>12/31/2012</v>
      </c>
      <c r="I8" s="287">
        <f>Cover!E8</f>
        <v>0</v>
      </c>
      <c r="J8" s="287">
        <f>Cover!F8</f>
        <v>0</v>
      </c>
      <c r="K8" s="287">
        <f>Cover!G8</f>
        <v>0</v>
      </c>
    </row>
    <row r="9" spans="1:18" ht="15" x14ac:dyDescent="0.25">
      <c r="A9" s="15" t="s">
        <v>78</v>
      </c>
      <c r="B9" s="16"/>
      <c r="C9" s="16"/>
      <c r="D9" s="396" t="s">
        <v>501</v>
      </c>
      <c r="E9" s="396"/>
      <c r="F9" s="396"/>
      <c r="G9" s="246"/>
      <c r="H9" s="16"/>
      <c r="I9" s="16"/>
      <c r="J9" s="16"/>
      <c r="K9" s="16"/>
      <c r="M9" s="15" t="s">
        <v>103</v>
      </c>
      <c r="N9" s="15"/>
      <c r="O9" s="15"/>
      <c r="P9" s="75"/>
      <c r="Q9" s="15"/>
      <c r="R9" s="15"/>
    </row>
    <row r="10" spans="1:18" x14ac:dyDescent="0.2">
      <c r="A10" s="1" t="s">
        <v>128</v>
      </c>
      <c r="B10" s="294">
        <v>5536.8490000000002</v>
      </c>
      <c r="C10" s="295">
        <v>5444.817</v>
      </c>
      <c r="D10" s="371">
        <v>9460</v>
      </c>
      <c r="E10" s="371">
        <v>10212</v>
      </c>
      <c r="F10" s="375">
        <v>10877</v>
      </c>
      <c r="G10" s="296">
        <v>11229.964</v>
      </c>
      <c r="H10" s="294">
        <v>11889.249</v>
      </c>
      <c r="I10" s="294"/>
      <c r="J10" s="294"/>
      <c r="K10" s="294"/>
      <c r="M10" s="20" t="s">
        <v>85</v>
      </c>
      <c r="N10" s="23"/>
      <c r="O10" s="23"/>
      <c r="P10" s="23"/>
      <c r="Q10" s="23"/>
      <c r="R10" s="23"/>
    </row>
    <row r="11" spans="1:18" x14ac:dyDescent="0.2">
      <c r="A11" s="1" t="s">
        <v>77</v>
      </c>
      <c r="B11" s="294">
        <f>+B10-5157.553-295.655</f>
        <v>83.641000000000304</v>
      </c>
      <c r="C11" s="295">
        <f>C10-5081.667-264.383</f>
        <v>98.766999999999655</v>
      </c>
      <c r="D11" s="371">
        <f>+D10-8787</f>
        <v>673</v>
      </c>
      <c r="E11" s="371">
        <f>+E10-9502</f>
        <v>710</v>
      </c>
      <c r="F11" s="375">
        <f>+F10-10186</f>
        <v>691</v>
      </c>
      <c r="G11" s="296">
        <f>+G10-10484.447-542.693</f>
        <v>202.82399999999984</v>
      </c>
      <c r="H11" s="294">
        <f>H10-10975.704-601.498</f>
        <v>312.04700000000003</v>
      </c>
      <c r="I11" s="294"/>
      <c r="J11" s="294"/>
      <c r="K11" s="294"/>
      <c r="M11" s="76" t="s">
        <v>104</v>
      </c>
      <c r="N11" s="23"/>
      <c r="O11" s="23"/>
      <c r="P11" s="23"/>
      <c r="Q11" s="23"/>
      <c r="R11" s="23"/>
    </row>
    <row r="12" spans="1:18" x14ac:dyDescent="0.2">
      <c r="A12" s="1" t="s">
        <v>76</v>
      </c>
      <c r="B12" s="294">
        <f>'1. EBITDA cleaner'!E6</f>
        <v>3.9470000000000063</v>
      </c>
      <c r="C12" s="295">
        <f>'1. EBITDA cleaner'!F6</f>
        <v>13.817999999999957</v>
      </c>
      <c r="D12" s="371">
        <v>230</v>
      </c>
      <c r="E12" s="371">
        <v>215</v>
      </c>
      <c r="F12" s="375">
        <v>111</v>
      </c>
      <c r="G12" s="296">
        <f>'1. EBITDA cleaner'!G6</f>
        <v>83.078000000000017</v>
      </c>
      <c r="H12" s="294">
        <f>'1. EBITDA cleaner'!H6</f>
        <v>258.72400000000005</v>
      </c>
      <c r="I12" s="294">
        <f>'1. EBITDA cleaner'!I6</f>
        <v>0</v>
      </c>
      <c r="J12" s="294">
        <f>'1. EBITDA cleaner'!J6</f>
        <v>0</v>
      </c>
      <c r="K12" s="294">
        <f>'1. EBITDA cleaner'!K6</f>
        <v>0</v>
      </c>
      <c r="M12" s="76" t="s">
        <v>105</v>
      </c>
      <c r="N12" s="23"/>
      <c r="O12" s="23"/>
      <c r="P12" s="23"/>
      <c r="Q12" s="23"/>
      <c r="R12" s="23"/>
    </row>
    <row r="13" spans="1:18" x14ac:dyDescent="0.2">
      <c r="A13" s="1" t="s">
        <v>402</v>
      </c>
      <c r="B13" s="294">
        <f>'1. EBITDA cleaner'!E26*-1</f>
        <v>-28.787000000000006</v>
      </c>
      <c r="C13" s="295">
        <f>'1. EBITDA cleaner'!F26*-1</f>
        <v>-3.5079999999999956</v>
      </c>
      <c r="D13" s="371">
        <v>-28</v>
      </c>
      <c r="E13" s="371">
        <v>-28</v>
      </c>
      <c r="F13" s="375">
        <v>-30.8</v>
      </c>
      <c r="G13" s="296">
        <f>'1. EBITDA cleaner'!G26*-1</f>
        <v>-29.438999999999993</v>
      </c>
      <c r="H13" s="294">
        <f>'1. EBITDA cleaner'!H26*-1</f>
        <v>-51.884000000000015</v>
      </c>
      <c r="I13" s="294">
        <f>'1. EBITDA cleaner'!I26*-1</f>
        <v>0</v>
      </c>
      <c r="J13" s="294">
        <f>'1. EBITDA cleaner'!J26*-1</f>
        <v>0</v>
      </c>
      <c r="K13" s="294">
        <f>'1. EBITDA cleaner'!K26*-1</f>
        <v>0</v>
      </c>
      <c r="M13" s="76" t="s">
        <v>106</v>
      </c>
      <c r="N13" s="23"/>
      <c r="O13" s="23"/>
      <c r="P13" s="23"/>
      <c r="Q13" s="23"/>
      <c r="R13" s="23"/>
    </row>
    <row r="14" spans="1:18" x14ac:dyDescent="0.2">
      <c r="A14" s="1" t="s">
        <v>0</v>
      </c>
      <c r="B14" s="294">
        <f>'1. EBITDA cleaner'!E27</f>
        <v>-83.337000000000003</v>
      </c>
      <c r="C14" s="295">
        <f>'1. EBITDA cleaner'!F27</f>
        <v>-201.25700000000001</v>
      </c>
      <c r="D14" s="371">
        <v>20.2</v>
      </c>
      <c r="E14" s="371">
        <v>3.65</v>
      </c>
      <c r="F14" s="375">
        <v>-86.9</v>
      </c>
      <c r="G14" s="296">
        <f>'1. EBITDA cleaner'!G27</f>
        <v>-271.08</v>
      </c>
      <c r="H14" s="294">
        <f>'1. EBITDA cleaner'!H27</f>
        <v>-88.575999999999993</v>
      </c>
      <c r="I14" s="294">
        <f>'1. EBITDA cleaner'!I27</f>
        <v>0</v>
      </c>
      <c r="J14" s="294">
        <f>'1. EBITDA cleaner'!J27</f>
        <v>0</v>
      </c>
      <c r="K14" s="294">
        <f>'1. EBITDA cleaner'!K27</f>
        <v>0</v>
      </c>
      <c r="M14" s="76" t="s">
        <v>107</v>
      </c>
      <c r="N14" s="23"/>
      <c r="O14" s="23"/>
      <c r="P14" s="23"/>
      <c r="Q14" s="23"/>
      <c r="R14" s="23"/>
    </row>
    <row r="15" spans="1:18" s="20" customFormat="1" x14ac:dyDescent="0.2">
      <c r="A15" s="20" t="s">
        <v>125</v>
      </c>
      <c r="B15" s="294">
        <f>'1. EBITDA cleaner'!E10*-1</f>
        <v>11.7</v>
      </c>
      <c r="C15" s="295">
        <f>'1. EBITDA cleaner'!F10*-1</f>
        <v>14.441000000000001</v>
      </c>
      <c r="D15" s="372" t="s">
        <v>97</v>
      </c>
      <c r="E15" s="372" t="s">
        <v>97</v>
      </c>
      <c r="F15" s="389" t="s">
        <v>97</v>
      </c>
      <c r="G15" s="296">
        <f>('1. EBITDA cleaner'!G10*-1)-232.455</f>
        <v>-243.952</v>
      </c>
      <c r="H15" s="294">
        <f>'1. EBITDA cleaner'!H10*-1</f>
        <v>-82.677999999999997</v>
      </c>
      <c r="I15" s="294">
        <f>'1. EBITDA cleaner'!I10*-1</f>
        <v>0</v>
      </c>
      <c r="J15" s="294">
        <f>'1. EBITDA cleaner'!J10*-1</f>
        <v>0</v>
      </c>
      <c r="K15" s="294">
        <f>'1. EBITDA cleaner'!K10*-1</f>
        <v>0</v>
      </c>
      <c r="M15" s="76" t="s">
        <v>108</v>
      </c>
      <c r="N15" s="23"/>
      <c r="O15" s="23"/>
      <c r="P15" s="23"/>
      <c r="Q15" s="23"/>
      <c r="R15" s="23"/>
    </row>
    <row r="16" spans="1:18" ht="15" x14ac:dyDescent="0.25">
      <c r="A16" s="15" t="s">
        <v>75</v>
      </c>
      <c r="B16" s="16"/>
      <c r="C16" s="16"/>
      <c r="D16" s="396" t="s">
        <v>501</v>
      </c>
      <c r="E16" s="396"/>
      <c r="F16" s="396"/>
      <c r="G16" s="246"/>
      <c r="H16" s="16"/>
      <c r="I16" s="16"/>
      <c r="J16" s="16"/>
      <c r="K16" s="16"/>
      <c r="M16" s="20" t="s">
        <v>109</v>
      </c>
      <c r="N16" s="23"/>
      <c r="O16" s="23"/>
      <c r="P16" s="23"/>
      <c r="Q16" s="23"/>
      <c r="R16" s="23"/>
    </row>
    <row r="17" spans="1:18" x14ac:dyDescent="0.2">
      <c r="A17" s="1" t="s">
        <v>34</v>
      </c>
      <c r="B17" s="294">
        <f>'2. FFO calculator'!F20</f>
        <v>-64.997</v>
      </c>
      <c r="C17" s="295">
        <f>'2. FFO calculator'!G20</f>
        <v>-32.561000000000021</v>
      </c>
      <c r="D17" s="371">
        <f>D19-D18</f>
        <v>180.07</v>
      </c>
      <c r="E17" s="371">
        <f>E19-E18</f>
        <v>179.97</v>
      </c>
      <c r="F17" s="375">
        <f>F19-F18</f>
        <v>85.899999999999991</v>
      </c>
      <c r="G17" s="296">
        <f>'2. FFO calculator'!H20</f>
        <v>-35.509999999999991</v>
      </c>
      <c r="H17" s="294">
        <f>'2. FFO calculator'!I20</f>
        <v>11.163000000000011</v>
      </c>
      <c r="I17" s="294">
        <f>'2. FFO calculator'!J20</f>
        <v>0</v>
      </c>
      <c r="J17" s="294">
        <f>'2. FFO calculator'!K20</f>
        <v>0</v>
      </c>
      <c r="K17" s="294">
        <f>'2. FFO calculator'!L20</f>
        <v>0</v>
      </c>
      <c r="M17" s="20" t="s">
        <v>110</v>
      </c>
      <c r="N17" s="23"/>
      <c r="O17" s="23"/>
      <c r="P17" s="23"/>
      <c r="Q17" s="23"/>
      <c r="R17" s="23"/>
    </row>
    <row r="18" spans="1:18" ht="11.25" customHeight="1" x14ac:dyDescent="0.2">
      <c r="A18" s="17" t="s">
        <v>74</v>
      </c>
      <c r="B18" s="291">
        <f>'2. FFO calculator'!F16</f>
        <v>78.146000000000001</v>
      </c>
      <c r="C18" s="292">
        <f>'2. FFO calculator'!G16</f>
        <v>157.06900000000002</v>
      </c>
      <c r="D18" s="374">
        <f>20.1+37-58.4-2.77</f>
        <v>-4.0699999999999967</v>
      </c>
      <c r="E18" s="374">
        <f>28.7+53-83.7-3.97</f>
        <v>-5.9700000000000006</v>
      </c>
      <c r="F18" s="390">
        <f>129-73.1-28.9+15.1</f>
        <v>42.100000000000009</v>
      </c>
      <c r="G18" s="293">
        <f>'2. FFO calculator'!H16</f>
        <v>359.27</v>
      </c>
      <c r="H18" s="291">
        <f>'2. FFO calculator'!I16</f>
        <v>525.11699999999996</v>
      </c>
      <c r="I18" s="291">
        <f>'2. FFO calculator'!J16</f>
        <v>0</v>
      </c>
      <c r="J18" s="291">
        <f>'2. FFO calculator'!K16</f>
        <v>0</v>
      </c>
      <c r="K18" s="291">
        <f>'2. FFO calculator'!L16</f>
        <v>0</v>
      </c>
      <c r="M18" s="69" t="s">
        <v>111</v>
      </c>
      <c r="N18" s="77"/>
      <c r="O18" s="77"/>
      <c r="P18" s="77"/>
      <c r="Q18" s="77"/>
      <c r="R18" s="77"/>
    </row>
    <row r="19" spans="1:18" x14ac:dyDescent="0.2">
      <c r="A19" s="1" t="s">
        <v>23</v>
      </c>
      <c r="B19" s="294">
        <f>'2. FFO calculator'!F6</f>
        <v>13.148999999999999</v>
      </c>
      <c r="C19" s="295">
        <f>'2. FFO calculator'!G6</f>
        <v>124.508</v>
      </c>
      <c r="D19" s="371">
        <v>176</v>
      </c>
      <c r="E19" s="371">
        <v>174</v>
      </c>
      <c r="F19" s="375">
        <v>128</v>
      </c>
      <c r="G19" s="296">
        <f>'2. FFO calculator'!H6</f>
        <v>323.76</v>
      </c>
      <c r="H19" s="294">
        <f>'2. FFO calculator'!I6</f>
        <v>536.28</v>
      </c>
      <c r="I19" s="294">
        <f>'2. FFO calculator'!J6</f>
        <v>0</v>
      </c>
      <c r="J19" s="294">
        <f>'2. FFO calculator'!K6</f>
        <v>0</v>
      </c>
      <c r="K19" s="294">
        <f>'2. FFO calculator'!L6</f>
        <v>0</v>
      </c>
    </row>
    <row r="20" spans="1:18" x14ac:dyDescent="0.2">
      <c r="A20" s="1" t="s">
        <v>73</v>
      </c>
      <c r="B20" s="294">
        <f>-0.042-3.51-0.236-0.903-35.145</f>
        <v>-39.835999999999999</v>
      </c>
      <c r="C20" s="295">
        <f>-0.212-15.561-0.117-0.61-46.675</f>
        <v>-63.174999999999997</v>
      </c>
      <c r="D20" s="371">
        <v>-104</v>
      </c>
      <c r="E20" s="371">
        <v>-104</v>
      </c>
      <c r="F20" s="375">
        <v>-92.2</v>
      </c>
      <c r="G20" s="296">
        <f>-0.397-22.134-0.481-1.051-84.815</f>
        <v>-108.878</v>
      </c>
      <c r="H20" s="294">
        <f>-1.201-36.22-1.06-4.005-70.65</f>
        <v>-113.13600000000001</v>
      </c>
      <c r="I20" s="294"/>
      <c r="J20" s="294"/>
      <c r="K20" s="294"/>
    </row>
    <row r="21" spans="1:18" ht="11.25" customHeight="1" x14ac:dyDescent="0.2">
      <c r="A21" s="17" t="s">
        <v>72</v>
      </c>
      <c r="B21" s="291"/>
      <c r="C21" s="292"/>
      <c r="D21" s="374"/>
      <c r="E21" s="374"/>
      <c r="F21" s="390"/>
      <c r="G21" s="293"/>
      <c r="H21" s="291"/>
      <c r="I21" s="291"/>
      <c r="J21" s="291"/>
      <c r="K21" s="291"/>
    </row>
    <row r="22" spans="1:18" x14ac:dyDescent="0.2">
      <c r="A22" s="1" t="s">
        <v>71</v>
      </c>
      <c r="B22" s="294">
        <f>B19+B20</f>
        <v>-26.686999999999998</v>
      </c>
      <c r="C22" s="295">
        <f t="shared" ref="C22:I22" si="1">C19+C20</f>
        <v>61.332999999999998</v>
      </c>
      <c r="D22" s="371">
        <v>44.2</v>
      </c>
      <c r="E22" s="371">
        <v>42.2</v>
      </c>
      <c r="F22" s="375">
        <v>5.19</v>
      </c>
      <c r="G22" s="296">
        <f t="shared" si="1"/>
        <v>214.88200000000001</v>
      </c>
      <c r="H22" s="294">
        <f t="shared" si="1"/>
        <v>423.14399999999995</v>
      </c>
      <c r="I22" s="294">
        <f t="shared" si="1"/>
        <v>0</v>
      </c>
      <c r="J22" s="294">
        <f t="shared" ref="J22:K22" si="2">J19+J20</f>
        <v>0</v>
      </c>
      <c r="K22" s="294">
        <f t="shared" si="2"/>
        <v>0</v>
      </c>
    </row>
    <row r="23" spans="1:18" s="20" customFormat="1" ht="11.25" customHeight="1" outlineLevel="1" x14ac:dyDescent="0.2">
      <c r="A23" s="17" t="s">
        <v>359</v>
      </c>
      <c r="B23" s="291">
        <f>B17+B26</f>
        <v>-64.997</v>
      </c>
      <c r="C23" s="292">
        <f t="shared" ref="C23:K23" si="3">C17+C26</f>
        <v>-32.561000000000021</v>
      </c>
      <c r="D23" s="374">
        <f t="shared" si="3"/>
        <v>180.07</v>
      </c>
      <c r="E23" s="374">
        <f t="shared" si="3"/>
        <v>179.97</v>
      </c>
      <c r="F23" s="390">
        <f t="shared" si="3"/>
        <v>85.899999999999991</v>
      </c>
      <c r="G23" s="293">
        <f t="shared" si="3"/>
        <v>-35.509999999999991</v>
      </c>
      <c r="H23" s="291">
        <f t="shared" si="3"/>
        <v>11.163000000000011</v>
      </c>
      <c r="I23" s="291">
        <f t="shared" si="3"/>
        <v>0</v>
      </c>
      <c r="J23" s="291">
        <f t="shared" si="3"/>
        <v>0</v>
      </c>
      <c r="K23" s="291">
        <f t="shared" si="3"/>
        <v>0</v>
      </c>
    </row>
    <row r="24" spans="1:18" x14ac:dyDescent="0.2">
      <c r="A24" s="1" t="s">
        <v>70</v>
      </c>
      <c r="B24" s="294"/>
      <c r="C24" s="295"/>
      <c r="D24" s="371"/>
      <c r="E24" s="371"/>
      <c r="F24" s="375"/>
      <c r="G24" s="296"/>
      <c r="H24" s="319"/>
      <c r="I24" s="294"/>
      <c r="J24" s="294"/>
      <c r="K24" s="294"/>
    </row>
    <row r="25" spans="1:18" s="20" customFormat="1" x14ac:dyDescent="0.2">
      <c r="A25" s="20" t="s">
        <v>112</v>
      </c>
      <c r="B25" s="294">
        <f>0.699+3.493</f>
        <v>4.1920000000000002</v>
      </c>
      <c r="C25" s="295">
        <f>0.09+3.915+7.814+5.911+0.03</f>
        <v>17.759999999999998</v>
      </c>
      <c r="D25" s="371"/>
      <c r="E25" s="371"/>
      <c r="F25" s="375"/>
      <c r="G25" s="317">
        <f>0.09+5.366+7.829+6.005</f>
        <v>19.29</v>
      </c>
      <c r="H25" s="294">
        <f>1.371+2.941+0.369+2.828</f>
        <v>7.5089999999999986</v>
      </c>
      <c r="I25" s="318"/>
      <c r="J25" s="294"/>
      <c r="K25" s="294"/>
    </row>
    <row r="26" spans="1:18" x14ac:dyDescent="0.2">
      <c r="A26" s="1" t="s">
        <v>69</v>
      </c>
      <c r="B26" s="294"/>
      <c r="C26" s="295"/>
      <c r="D26" s="371"/>
      <c r="E26" s="371"/>
      <c r="F26" s="375"/>
      <c r="G26" s="296"/>
      <c r="H26" s="320"/>
      <c r="I26" s="294"/>
      <c r="J26" s="294"/>
      <c r="K26" s="294"/>
    </row>
    <row r="27" spans="1:18" x14ac:dyDescent="0.2">
      <c r="A27" s="1" t="s">
        <v>68</v>
      </c>
      <c r="B27" s="294"/>
      <c r="C27" s="295"/>
      <c r="D27" s="371"/>
      <c r="E27" s="371"/>
      <c r="F27" s="375"/>
      <c r="G27" s="296">
        <v>-5.9429999999999996</v>
      </c>
      <c r="H27" s="294"/>
      <c r="I27" s="294"/>
      <c r="J27" s="294"/>
      <c r="K27" s="294"/>
    </row>
    <row r="28" spans="1:18" x14ac:dyDescent="0.2">
      <c r="A28" s="1" t="s">
        <v>67</v>
      </c>
      <c r="B28" s="294">
        <f>-32.012-19.477</f>
        <v>-51.489000000000004</v>
      </c>
      <c r="C28" s="295">
        <v>-90.144999999999996</v>
      </c>
      <c r="D28" s="371">
        <v>-126</v>
      </c>
      <c r="E28" s="371">
        <v>-50</v>
      </c>
      <c r="F28" s="375">
        <v>-31</v>
      </c>
      <c r="G28" s="296">
        <f>-13.402-35.17</f>
        <v>-48.572000000000003</v>
      </c>
      <c r="H28" s="294">
        <f>-291.325-198.044+171.954</f>
        <v>-317.41500000000002</v>
      </c>
      <c r="I28" s="294"/>
      <c r="J28" s="294"/>
      <c r="K28" s="294"/>
    </row>
    <row r="29" spans="1:18" s="20" customFormat="1" x14ac:dyDescent="0.2">
      <c r="A29" s="20" t="s">
        <v>102</v>
      </c>
      <c r="B29" s="294"/>
      <c r="C29" s="295"/>
      <c r="D29" s="371"/>
      <c r="E29" s="371"/>
      <c r="F29" s="375"/>
      <c r="G29" s="296"/>
      <c r="H29" s="294"/>
      <c r="I29" s="294"/>
      <c r="J29" s="294"/>
      <c r="K29" s="294"/>
      <c r="P29" s="321"/>
    </row>
    <row r="30" spans="1:18" s="20" customFormat="1" hidden="1" outlineLevel="1" x14ac:dyDescent="0.2">
      <c r="A30" s="80" t="s">
        <v>121</v>
      </c>
      <c r="B30" s="294">
        <f>'1. EBITDA cleaner'!E24</f>
        <v>97.936000000000007</v>
      </c>
      <c r="C30" s="295">
        <f>'1. EBITDA cleaner'!F24</f>
        <v>329.50799999999998</v>
      </c>
      <c r="D30" s="371">
        <v>160</v>
      </c>
      <c r="E30" s="371">
        <v>168</v>
      </c>
      <c r="F30" s="375">
        <v>179</v>
      </c>
      <c r="G30" s="296">
        <f>'1. EBITDA cleaner'!G24</f>
        <v>425.74200000000002</v>
      </c>
      <c r="H30" s="294">
        <f>'1. EBITDA cleaner'!H24</f>
        <v>244.18600000000001</v>
      </c>
      <c r="I30" s="294">
        <f>'1. EBITDA cleaner'!I24</f>
        <v>0</v>
      </c>
      <c r="J30" s="294">
        <f>'1. EBITDA cleaner'!J24</f>
        <v>0</v>
      </c>
      <c r="K30" s="294">
        <f>'1. EBITDA cleaner'!K24</f>
        <v>0</v>
      </c>
    </row>
    <row r="31" spans="1:18" ht="15" collapsed="1" x14ac:dyDescent="0.25">
      <c r="A31" s="15" t="s">
        <v>66</v>
      </c>
      <c r="B31" s="16"/>
      <c r="C31" s="16"/>
      <c r="D31" s="396" t="s">
        <v>501</v>
      </c>
      <c r="E31" s="396"/>
      <c r="F31" s="396"/>
      <c r="G31" s="246"/>
      <c r="H31" s="16"/>
      <c r="I31" s="16"/>
      <c r="J31" s="16"/>
      <c r="K31" s="16"/>
      <c r="O31" s="365">
        <f>1/1.25</f>
        <v>0.8</v>
      </c>
    </row>
    <row r="32" spans="1:18" x14ac:dyDescent="0.2">
      <c r="A32" s="1" t="s">
        <v>65</v>
      </c>
      <c r="B32" s="294">
        <v>450.77699999999999</v>
      </c>
      <c r="C32" s="295">
        <v>322.24900000000002</v>
      </c>
      <c r="D32" s="371">
        <v>420</v>
      </c>
      <c r="E32" s="371">
        <v>501</v>
      </c>
      <c r="F32" s="375">
        <v>508</v>
      </c>
      <c r="G32" s="296">
        <v>506.827</v>
      </c>
      <c r="H32" s="294">
        <v>302.95</v>
      </c>
      <c r="I32" s="294"/>
      <c r="J32" s="294"/>
      <c r="K32" s="294"/>
    </row>
    <row r="33" spans="1:11" s="20" customFormat="1" x14ac:dyDescent="0.2">
      <c r="A33" s="20" t="s">
        <v>384</v>
      </c>
      <c r="B33" s="294">
        <v>1154.079</v>
      </c>
      <c r="C33" s="295">
        <v>1268.345</v>
      </c>
      <c r="D33" s="371">
        <v>1085</v>
      </c>
      <c r="E33" s="371">
        <v>1054</v>
      </c>
      <c r="F33" s="375">
        <v>1118</v>
      </c>
      <c r="G33" s="296">
        <v>1217.425</v>
      </c>
      <c r="H33" s="294">
        <v>1288.758</v>
      </c>
      <c r="I33" s="294"/>
      <c r="J33" s="294"/>
      <c r="K33" s="294"/>
    </row>
    <row r="34" spans="1:11" x14ac:dyDescent="0.2">
      <c r="A34" s="1" t="s">
        <v>64</v>
      </c>
      <c r="B34" s="294">
        <v>3716.1019999999999</v>
      </c>
      <c r="C34" s="295">
        <v>3806.3879999999999</v>
      </c>
      <c r="D34" s="372" t="s">
        <v>133</v>
      </c>
      <c r="E34" s="372" t="s">
        <v>133</v>
      </c>
      <c r="F34" s="389" t="s">
        <v>133</v>
      </c>
      <c r="G34" s="296">
        <v>3813.5309999999999</v>
      </c>
      <c r="H34" s="294">
        <v>3939.922</v>
      </c>
      <c r="I34" s="294"/>
      <c r="J34" s="294"/>
      <c r="K34" s="294"/>
    </row>
    <row r="35" spans="1:11" s="20" customFormat="1" outlineLevel="1" x14ac:dyDescent="0.2">
      <c r="A35" s="80" t="s">
        <v>387</v>
      </c>
      <c r="B35" s="291">
        <v>182.99100000000001</v>
      </c>
      <c r="C35" s="292">
        <v>129.31700000000001</v>
      </c>
      <c r="D35" s="374"/>
      <c r="E35" s="374"/>
      <c r="F35" s="390"/>
      <c r="G35" s="293">
        <v>180.97</v>
      </c>
      <c r="H35" s="291">
        <v>166.99700000000001</v>
      </c>
      <c r="I35" s="291"/>
      <c r="J35" s="291"/>
      <c r="K35" s="291"/>
    </row>
    <row r="36" spans="1:11" s="20" customFormat="1" outlineLevel="1" x14ac:dyDescent="0.2">
      <c r="A36" s="80" t="s">
        <v>386</v>
      </c>
      <c r="B36" s="291">
        <v>367.05399999999997</v>
      </c>
      <c r="C36" s="292">
        <v>405.286</v>
      </c>
      <c r="D36" s="374"/>
      <c r="E36" s="374"/>
      <c r="F36" s="390"/>
      <c r="G36" s="293">
        <v>385.78</v>
      </c>
      <c r="H36" s="291">
        <v>424.89100000000002</v>
      </c>
      <c r="I36" s="291"/>
      <c r="J36" s="291"/>
      <c r="K36" s="291"/>
    </row>
    <row r="37" spans="1:11" x14ac:dyDescent="0.2">
      <c r="A37" s="1" t="s">
        <v>63</v>
      </c>
      <c r="B37" s="294">
        <f t="shared" ref="B37:C37" si="4">SUM(B35:B36)</f>
        <v>550.04499999999996</v>
      </c>
      <c r="C37" s="295">
        <f t="shared" si="4"/>
        <v>534.60300000000007</v>
      </c>
      <c r="D37" s="371">
        <v>360</v>
      </c>
      <c r="E37" s="371">
        <v>486</v>
      </c>
      <c r="F37" s="375">
        <v>536</v>
      </c>
      <c r="G37" s="296">
        <f>SUM(G35:G36)</f>
        <v>566.75</v>
      </c>
      <c r="H37" s="294">
        <f t="shared" ref="H37:K37" si="5">SUM(H35:H36)</f>
        <v>591.88800000000003</v>
      </c>
      <c r="I37" s="294">
        <f t="shared" si="5"/>
        <v>0</v>
      </c>
      <c r="J37" s="294">
        <f t="shared" si="5"/>
        <v>0</v>
      </c>
      <c r="K37" s="294">
        <f t="shared" si="5"/>
        <v>0</v>
      </c>
    </row>
    <row r="38" spans="1:11" ht="11.25" customHeight="1" x14ac:dyDescent="0.2">
      <c r="A38" s="17" t="s">
        <v>385</v>
      </c>
      <c r="B38" s="291">
        <f>B37+9.932+19.239</f>
        <v>579.21600000000001</v>
      </c>
      <c r="C38" s="292">
        <f>C37+22.932+9.99</f>
        <v>567.52500000000009</v>
      </c>
      <c r="D38" s="374">
        <f>D37</f>
        <v>360</v>
      </c>
      <c r="E38" s="374">
        <f>E37</f>
        <v>486</v>
      </c>
      <c r="F38" s="390">
        <f>F37</f>
        <v>536</v>
      </c>
      <c r="G38" s="398">
        <f>G37</f>
        <v>566.75</v>
      </c>
      <c r="H38" s="291">
        <f>H37</f>
        <v>591.88800000000003</v>
      </c>
      <c r="I38" s="291"/>
      <c r="J38" s="291"/>
      <c r="K38" s="291"/>
    </row>
    <row r="39" spans="1:11" x14ac:dyDescent="0.2">
      <c r="A39" s="1" t="s">
        <v>62</v>
      </c>
      <c r="B39" s="294">
        <v>838.62599999999998</v>
      </c>
      <c r="C39" s="295">
        <v>990.47799999999995</v>
      </c>
      <c r="D39" s="371">
        <v>965</v>
      </c>
      <c r="E39" s="371">
        <v>886</v>
      </c>
      <c r="F39" s="375">
        <v>907</v>
      </c>
      <c r="G39" s="296">
        <v>921.202</v>
      </c>
      <c r="H39" s="294">
        <v>1196.6980000000001</v>
      </c>
      <c r="I39" s="294"/>
      <c r="J39" s="294"/>
      <c r="K39" s="294"/>
    </row>
    <row r="40" spans="1:11" x14ac:dyDescent="0.2">
      <c r="A40" s="1" t="s">
        <v>61</v>
      </c>
      <c r="B40" s="294">
        <f>+B38+B39</f>
        <v>1417.8420000000001</v>
      </c>
      <c r="C40" s="295">
        <f>+C38+C39</f>
        <v>1558.0030000000002</v>
      </c>
      <c r="D40" s="371">
        <f>D39+D37</f>
        <v>1325</v>
      </c>
      <c r="E40" s="371">
        <f>E39+E37</f>
        <v>1372</v>
      </c>
      <c r="F40" s="385">
        <f>F39+F37</f>
        <v>1443</v>
      </c>
      <c r="G40" s="296">
        <f>+G38+G39</f>
        <v>1487.952</v>
      </c>
      <c r="H40" s="294">
        <f>+H38+H39</f>
        <v>1788.5860000000002</v>
      </c>
      <c r="I40" s="294">
        <f>+I38+I39</f>
        <v>0</v>
      </c>
      <c r="J40" s="294">
        <f t="shared" ref="J40:K40" si="6">+J38+J39</f>
        <v>0</v>
      </c>
      <c r="K40" s="294">
        <f t="shared" si="6"/>
        <v>0</v>
      </c>
    </row>
    <row r="41" spans="1:11" x14ac:dyDescent="0.2">
      <c r="A41" s="1" t="s">
        <v>60</v>
      </c>
      <c r="B41" s="294">
        <f>B43-B44</f>
        <v>146.32600000000002</v>
      </c>
      <c r="C41" s="295">
        <f t="shared" ref="C41:I41" si="7">C43-C44</f>
        <v>299.90300000000002</v>
      </c>
      <c r="D41" s="371">
        <f t="shared" si="7"/>
        <v>352</v>
      </c>
      <c r="E41" s="371">
        <f t="shared" si="7"/>
        <v>355.20000000000005</v>
      </c>
      <c r="F41" s="375">
        <f t="shared" si="7"/>
        <v>358.20000000000005</v>
      </c>
      <c r="G41" s="296">
        <f t="shared" si="7"/>
        <v>272.42200000000025</v>
      </c>
      <c r="H41" s="294">
        <f t="shared" si="7"/>
        <v>392.09799999999996</v>
      </c>
      <c r="I41" s="294">
        <f t="shared" si="7"/>
        <v>0</v>
      </c>
      <c r="J41" s="294">
        <f t="shared" ref="J41:K41" si="8">J43-J44</f>
        <v>0</v>
      </c>
      <c r="K41" s="294">
        <f t="shared" si="8"/>
        <v>0</v>
      </c>
    </row>
    <row r="42" spans="1:11" s="20" customFormat="1" x14ac:dyDescent="0.2">
      <c r="A42" s="20" t="s">
        <v>117</v>
      </c>
      <c r="B42" s="294">
        <f>B14</f>
        <v>-83.337000000000003</v>
      </c>
      <c r="C42" s="295">
        <f>C14</f>
        <v>-201.25700000000001</v>
      </c>
      <c r="D42" s="371">
        <f>E42+D14</f>
        <v>-334.13000000000005</v>
      </c>
      <c r="E42" s="371">
        <f>F42+E14</f>
        <v>-354.33000000000004</v>
      </c>
      <c r="F42" s="375">
        <f>G42+F14</f>
        <v>-357.98</v>
      </c>
      <c r="G42" s="317">
        <f>G14</f>
        <v>-271.08</v>
      </c>
      <c r="H42" s="294">
        <f>H14</f>
        <v>-88.575999999999993</v>
      </c>
      <c r="I42" s="294"/>
      <c r="J42" s="294"/>
      <c r="K42" s="294"/>
    </row>
    <row r="43" spans="1:11" s="20" customFormat="1" hidden="1" outlineLevel="1" x14ac:dyDescent="0.2">
      <c r="A43" s="80" t="s">
        <v>118</v>
      </c>
      <c r="B43" s="294">
        <v>2216.337</v>
      </c>
      <c r="C43" s="295">
        <v>2229.4470000000001</v>
      </c>
      <c r="D43" s="371">
        <f>493+909+453</f>
        <v>1855</v>
      </c>
      <c r="E43" s="371">
        <f>513+946+460</f>
        <v>1919</v>
      </c>
      <c r="F43" s="375">
        <f>541+999+470</f>
        <v>2010</v>
      </c>
      <c r="G43" s="296">
        <v>2287.4070000000002</v>
      </c>
      <c r="H43" s="294">
        <v>2209.3519999999999</v>
      </c>
      <c r="I43" s="294"/>
      <c r="J43" s="294"/>
      <c r="K43" s="294"/>
    </row>
    <row r="44" spans="1:11" s="20" customFormat="1" hidden="1" outlineLevel="1" x14ac:dyDescent="0.2">
      <c r="A44" s="80" t="s">
        <v>119</v>
      </c>
      <c r="B44" s="294">
        <v>2070.011</v>
      </c>
      <c r="C44" s="295">
        <v>1929.5440000000001</v>
      </c>
      <c r="D44" s="371">
        <f>1435+68</f>
        <v>1503</v>
      </c>
      <c r="E44" s="371">
        <f>1493+70.8</f>
        <v>1563.8</v>
      </c>
      <c r="F44" s="375">
        <f>1577+74.8</f>
        <v>1651.8</v>
      </c>
      <c r="G44" s="296">
        <v>2014.9849999999999</v>
      </c>
      <c r="H44" s="294">
        <v>1817.2539999999999</v>
      </c>
      <c r="I44" s="294"/>
      <c r="J44" s="294"/>
      <c r="K44" s="294"/>
    </row>
    <row r="45" spans="1:11" s="20" customFormat="1" hidden="1" outlineLevel="1" x14ac:dyDescent="0.2">
      <c r="A45" s="80" t="s">
        <v>347</v>
      </c>
      <c r="B45" s="294"/>
      <c r="C45" s="295"/>
      <c r="D45" s="371">
        <v>21.9</v>
      </c>
      <c r="E45" s="371">
        <v>21.9</v>
      </c>
      <c r="F45" s="375">
        <v>21.9</v>
      </c>
      <c r="G45" s="296"/>
      <c r="H45" s="294"/>
      <c r="I45" s="294"/>
      <c r="J45" s="294"/>
      <c r="K45" s="294"/>
    </row>
    <row r="46" spans="1:11" s="20" customFormat="1" hidden="1" outlineLevel="1" x14ac:dyDescent="0.2">
      <c r="A46" s="80" t="s">
        <v>348</v>
      </c>
      <c r="B46" s="294">
        <v>92.643000000000001</v>
      </c>
      <c r="C46" s="295">
        <v>98.709000000000003</v>
      </c>
      <c r="D46" s="371">
        <v>41.5</v>
      </c>
      <c r="E46" s="371">
        <v>41.5</v>
      </c>
      <c r="F46" s="375">
        <v>41.5</v>
      </c>
      <c r="G46" s="296">
        <v>97.082999999999998</v>
      </c>
      <c r="H46" s="294">
        <v>348.767</v>
      </c>
      <c r="I46" s="294"/>
      <c r="J46" s="294"/>
      <c r="K46" s="294"/>
    </row>
    <row r="47" spans="1:11" s="20" customFormat="1" hidden="1" outlineLevel="1" x14ac:dyDescent="0.2">
      <c r="A47" s="80" t="s">
        <v>392</v>
      </c>
      <c r="B47" s="294">
        <v>542.75699999999995</v>
      </c>
      <c r="C47" s="295">
        <v>762.07600000000002</v>
      </c>
      <c r="D47" s="371">
        <v>493</v>
      </c>
      <c r="E47" s="371">
        <v>513</v>
      </c>
      <c r="F47" s="375">
        <v>541</v>
      </c>
      <c r="G47" s="296">
        <v>670.81799999999998</v>
      </c>
      <c r="H47" s="294">
        <v>820.21500000000003</v>
      </c>
      <c r="I47" s="294"/>
      <c r="J47" s="294"/>
      <c r="K47" s="294"/>
    </row>
    <row r="48" spans="1:11" s="20" customFormat="1" hidden="1" outlineLevel="1" x14ac:dyDescent="0.2">
      <c r="A48" s="80" t="s">
        <v>475</v>
      </c>
      <c r="B48" s="294">
        <v>1580.768</v>
      </c>
      <c r="C48" s="295">
        <v>1486.9469999999999</v>
      </c>
      <c r="D48" s="371">
        <v>1435</v>
      </c>
      <c r="E48" s="371">
        <v>1493</v>
      </c>
      <c r="F48" s="375">
        <v>1577</v>
      </c>
      <c r="G48" s="296">
        <v>1605.867</v>
      </c>
      <c r="H48" s="294">
        <v>1394.3420000000001</v>
      </c>
      <c r="I48" s="294"/>
      <c r="J48" s="294"/>
      <c r="K48" s="294"/>
    </row>
    <row r="49" spans="1:11" s="20" customFormat="1" hidden="1" outlineLevel="1" x14ac:dyDescent="0.2">
      <c r="A49" s="80" t="s">
        <v>393</v>
      </c>
      <c r="B49" s="294">
        <v>1001.595</v>
      </c>
      <c r="C49" s="295">
        <v>980.55200000000002</v>
      </c>
      <c r="D49" s="371">
        <v>909</v>
      </c>
      <c r="E49" s="371">
        <v>946</v>
      </c>
      <c r="F49" s="375">
        <v>999</v>
      </c>
      <c r="G49" s="296">
        <v>926.06299999999999</v>
      </c>
      <c r="H49" s="294">
        <v>920.98099999999999</v>
      </c>
      <c r="I49" s="294"/>
      <c r="J49" s="294"/>
      <c r="K49" s="294"/>
    </row>
    <row r="50" spans="1:11" ht="15" collapsed="1" x14ac:dyDescent="0.25">
      <c r="A50" s="15" t="s">
        <v>59</v>
      </c>
      <c r="B50" s="16"/>
      <c r="C50" s="16"/>
      <c r="D50" s="395"/>
      <c r="E50" s="395"/>
      <c r="F50" s="395"/>
      <c r="G50" s="246"/>
      <c r="H50" s="16"/>
      <c r="I50" s="16"/>
      <c r="J50" s="16"/>
      <c r="K50" s="16"/>
    </row>
    <row r="51" spans="1:11" s="20" customFormat="1" x14ac:dyDescent="0.2">
      <c r="A51" s="20" t="s">
        <v>120</v>
      </c>
      <c r="B51" s="297">
        <f>(B12-B30)/B10</f>
        <v>-1.6975178481479267E-2</v>
      </c>
      <c r="C51" s="298">
        <f t="shared" ref="C51:F51" si="9">(C12-C30)/C10</f>
        <v>-5.7979910068602855E-2</v>
      </c>
      <c r="D51" s="376">
        <f t="shared" si="9"/>
        <v>7.3995771670190271E-3</v>
      </c>
      <c r="E51" s="376">
        <f t="shared" si="9"/>
        <v>4.6024285154719936E-3</v>
      </c>
      <c r="F51" s="391">
        <f t="shared" si="9"/>
        <v>-6.2517238209064997E-3</v>
      </c>
      <c r="G51" s="299">
        <f>(G12-G30)/G10</f>
        <v>-3.0513365848724001E-2</v>
      </c>
      <c r="H51" s="297">
        <f>(H12-H30)/H10</f>
        <v>1.2227853920798563E-3</v>
      </c>
      <c r="I51" s="297" t="e">
        <f>(I12-I30)/I10</f>
        <v>#DIV/0!</v>
      </c>
      <c r="J51" s="297" t="e">
        <f t="shared" ref="J51:K51" si="10">(J12-J30)/J10</f>
        <v>#DIV/0!</v>
      </c>
      <c r="K51" s="297" t="e">
        <f t="shared" si="10"/>
        <v>#DIV/0!</v>
      </c>
    </row>
    <row r="52" spans="1:11" s="20" customFormat="1" ht="11.25" customHeight="1" outlineLevel="1" x14ac:dyDescent="0.2">
      <c r="A52" s="17" t="s">
        <v>127</v>
      </c>
      <c r="B52" s="300">
        <f>(B12-B30)/AVERAGE(B10:C10)</f>
        <v>-1.7117439193652401E-2</v>
      </c>
      <c r="C52" s="301">
        <f>(C12-C30)/AVERAGE(C10:G10)</f>
        <v>-3.3424896663822833E-2</v>
      </c>
      <c r="D52" s="377">
        <f t="shared" ref="D52:F52" si="11">(D12-D30)/AVERAGE(D10:E10)</f>
        <v>7.1167141114274095E-3</v>
      </c>
      <c r="E52" s="377">
        <f t="shared" si="11"/>
        <v>4.4573000142254255E-3</v>
      </c>
      <c r="F52" s="392">
        <f t="shared" si="11"/>
        <v>-6.1519076070327885E-3</v>
      </c>
      <c r="G52" s="302">
        <f t="shared" ref="G52:J52" si="12">(G12-G30)/AVERAGE(G10:H10)</f>
        <v>-2.9643223582048402E-2</v>
      </c>
      <c r="H52" s="300">
        <f t="shared" si="12"/>
        <v>1.2227853920798563E-3</v>
      </c>
      <c r="I52" s="300" t="e">
        <f t="shared" si="12"/>
        <v>#DIV/0!</v>
      </c>
      <c r="J52" s="300" t="e">
        <f t="shared" si="12"/>
        <v>#DIV/0!</v>
      </c>
      <c r="K52" s="300"/>
    </row>
    <row r="53" spans="1:11" s="20" customFormat="1" ht="11.25" customHeight="1" outlineLevel="1" x14ac:dyDescent="0.2">
      <c r="A53" s="17" t="s">
        <v>123</v>
      </c>
      <c r="B53" s="291">
        <f>(B12-B30)/(AVERAGE(B13:C13))*-1</f>
        <v>-5.8206533519120605</v>
      </c>
      <c r="C53" s="292">
        <f>(C12-C30)/(AVERAGE(C13:G13))*-1</f>
        <v>-13.181541082448831</v>
      </c>
      <c r="D53" s="374">
        <f t="shared" ref="D53:F53" si="13">(D12-D30)/(AVERAGE(D13:E13))*-1</f>
        <v>2.5</v>
      </c>
      <c r="E53" s="374">
        <f t="shared" si="13"/>
        <v>1.5986394557823129</v>
      </c>
      <c r="F53" s="390">
        <f t="shared" si="13"/>
        <v>-2.2576736001593654</v>
      </c>
      <c r="G53" s="293">
        <f>(G12-G30)/(AVERAGE(G13:H13))*-1</f>
        <v>-8.4272346076755635</v>
      </c>
      <c r="H53" s="291">
        <f>(H12-H30)/(AVERAGE(H13:I13))*-1</f>
        <v>0.56040397810500486</v>
      </c>
      <c r="I53" s="291" t="e">
        <f t="shared" ref="I53:J53" si="14">(I12-I30)/(AVERAGE(I13:J13))*-1</f>
        <v>#DIV/0!</v>
      </c>
      <c r="J53" s="291" t="e">
        <f t="shared" si="14"/>
        <v>#DIV/0!</v>
      </c>
      <c r="K53" s="291"/>
    </row>
    <row r="54" spans="1:11" x14ac:dyDescent="0.2">
      <c r="A54" s="1" t="s">
        <v>126</v>
      </c>
      <c r="B54" s="297">
        <f>B12/B10</f>
        <v>7.1286032904274732E-4</v>
      </c>
      <c r="C54" s="298">
        <f>C12/C10</f>
        <v>2.5378263401690006E-3</v>
      </c>
      <c r="D54" s="376">
        <f t="shared" ref="D54:F54" si="15">D12/D10</f>
        <v>2.4312896405919663E-2</v>
      </c>
      <c r="E54" s="376">
        <f t="shared" si="15"/>
        <v>2.1053662358010185E-2</v>
      </c>
      <c r="F54" s="391">
        <f t="shared" si="15"/>
        <v>1.0205019766479728E-2</v>
      </c>
      <c r="G54" s="299">
        <f>G12/G10</f>
        <v>7.3978865827174526E-3</v>
      </c>
      <c r="H54" s="297">
        <f>H12/H10</f>
        <v>2.176117263588306E-2</v>
      </c>
      <c r="I54" s="297" t="e">
        <f>I12/I10</f>
        <v>#DIV/0!</v>
      </c>
      <c r="J54" s="297" t="e">
        <f t="shared" ref="J54:K54" si="16">J12/J10</f>
        <v>#DIV/0!</v>
      </c>
      <c r="K54" s="297" t="e">
        <f t="shared" si="16"/>
        <v>#DIV/0!</v>
      </c>
    </row>
    <row r="55" spans="1:11" x14ac:dyDescent="0.2">
      <c r="A55" s="1" t="s">
        <v>58</v>
      </c>
      <c r="B55" s="294">
        <f>B12/B13*-1</f>
        <v>0.13711050126793364</v>
      </c>
      <c r="C55" s="295">
        <f t="shared" ref="C55:I55" si="17">C12/C13*-1</f>
        <v>3.9389965792474273</v>
      </c>
      <c r="D55" s="371">
        <f t="shared" ref="D55:F55" si="18">D12/D13*-1</f>
        <v>8.2142857142857135</v>
      </c>
      <c r="E55" s="371">
        <f t="shared" si="18"/>
        <v>7.6785714285714288</v>
      </c>
      <c r="F55" s="375">
        <f t="shared" si="18"/>
        <v>3.6038961038961039</v>
      </c>
      <c r="G55" s="296">
        <f t="shared" si="17"/>
        <v>2.8220387920785366</v>
      </c>
      <c r="H55" s="294">
        <f t="shared" si="17"/>
        <v>4.9865854598720221</v>
      </c>
      <c r="I55" s="294" t="e">
        <f t="shared" si="17"/>
        <v>#DIV/0!</v>
      </c>
      <c r="J55" s="294" t="e">
        <f t="shared" ref="J55:K55" si="19">J12/J13*-1</f>
        <v>#DIV/0!</v>
      </c>
      <c r="K55" s="294" t="e">
        <f t="shared" si="19"/>
        <v>#DIV/0!</v>
      </c>
    </row>
    <row r="56" spans="1:11" x14ac:dyDescent="0.2">
      <c r="A56" s="1" t="s">
        <v>57</v>
      </c>
      <c r="B56" s="294">
        <f>B37/B12</f>
        <v>139.3577400557383</v>
      </c>
      <c r="C56" s="295">
        <f>C37/C12</f>
        <v>38.68888406426413</v>
      </c>
      <c r="D56" s="371">
        <f t="shared" ref="D56:F56" si="20">D37/D12</f>
        <v>1.5652173913043479</v>
      </c>
      <c r="E56" s="371">
        <f t="shared" si="20"/>
        <v>2.2604651162790699</v>
      </c>
      <c r="F56" s="375">
        <f t="shared" si="20"/>
        <v>4.8288288288288292</v>
      </c>
      <c r="G56" s="296">
        <f>G37/G12</f>
        <v>6.8219023086737751</v>
      </c>
      <c r="H56" s="294">
        <f>H37/H12</f>
        <v>2.2877197322243004</v>
      </c>
      <c r="I56" s="294" t="e">
        <f>I37/I12</f>
        <v>#DIV/0!</v>
      </c>
      <c r="J56" s="294" t="e">
        <f t="shared" ref="J56:K56" si="21">J37/J12</f>
        <v>#DIV/0!</v>
      </c>
      <c r="K56" s="294" t="e">
        <f t="shared" si="21"/>
        <v>#DIV/0!</v>
      </c>
    </row>
    <row r="57" spans="1:11" ht="11.25" customHeight="1" x14ac:dyDescent="0.2">
      <c r="A57" s="17" t="s">
        <v>56</v>
      </c>
      <c r="B57" s="291">
        <f>(B37-B32)/B12</f>
        <v>25.150240689130939</v>
      </c>
      <c r="C57" s="292">
        <f>(C37-C32)/C12</f>
        <v>15.367925893761811</v>
      </c>
      <c r="D57" s="374">
        <f t="shared" ref="D57:F57" si="22">(D37-D32)/D12</f>
        <v>-0.2608695652173913</v>
      </c>
      <c r="E57" s="374">
        <f t="shared" si="22"/>
        <v>-6.9767441860465115E-2</v>
      </c>
      <c r="F57" s="390">
        <f t="shared" si="22"/>
        <v>0.25225225225225223</v>
      </c>
      <c r="G57" s="293">
        <f>(G37-G32)/G12</f>
        <v>0.72128602036640255</v>
      </c>
      <c r="H57" s="291">
        <f>(H37-H32)/H12</f>
        <v>1.1167808166231197</v>
      </c>
      <c r="I57" s="291" t="e">
        <f>(I37-I32)/I12</f>
        <v>#DIV/0!</v>
      </c>
      <c r="J57" s="291" t="e">
        <f t="shared" ref="J57:K57" si="23">(J37-J32)/J12</f>
        <v>#DIV/0!</v>
      </c>
      <c r="K57" s="291" t="e">
        <f t="shared" si="23"/>
        <v>#DIV/0!</v>
      </c>
    </row>
    <row r="58" spans="1:11" x14ac:dyDescent="0.2">
      <c r="A58" s="1" t="s">
        <v>55</v>
      </c>
      <c r="B58" s="294">
        <f>B38/B12</f>
        <v>146.74841651887488</v>
      </c>
      <c r="C58" s="295">
        <f>C38/C12</f>
        <v>41.071428571428704</v>
      </c>
      <c r="D58" s="371">
        <f t="shared" ref="D58:F58" si="24">D38/D12</f>
        <v>1.5652173913043479</v>
      </c>
      <c r="E58" s="371">
        <f t="shared" si="24"/>
        <v>2.2604651162790699</v>
      </c>
      <c r="F58" s="375">
        <f t="shared" si="24"/>
        <v>4.8288288288288292</v>
      </c>
      <c r="G58" s="296">
        <f>G38/G12</f>
        <v>6.8219023086737751</v>
      </c>
      <c r="H58" s="294">
        <f>H38/H12</f>
        <v>2.2877197322243004</v>
      </c>
      <c r="I58" s="294" t="e">
        <f>I38/I12</f>
        <v>#DIV/0!</v>
      </c>
      <c r="J58" s="294" t="e">
        <f t="shared" ref="J58:K58" si="25">J38/J12</f>
        <v>#DIV/0!</v>
      </c>
      <c r="K58" s="294" t="e">
        <f t="shared" si="25"/>
        <v>#DIV/0!</v>
      </c>
    </row>
    <row r="59" spans="1:11" ht="11.25" customHeight="1" x14ac:dyDescent="0.2">
      <c r="A59" s="17" t="s">
        <v>54</v>
      </c>
      <c r="B59" s="291">
        <f>(B38-B32)/B12</f>
        <v>32.540917152267497</v>
      </c>
      <c r="C59" s="292">
        <f>(C38-C32)/C12</f>
        <v>17.750470400926389</v>
      </c>
      <c r="D59" s="374">
        <f t="shared" ref="D59:F59" si="26">(D38-D32)/D12</f>
        <v>-0.2608695652173913</v>
      </c>
      <c r="E59" s="374">
        <f t="shared" si="26"/>
        <v>-6.9767441860465115E-2</v>
      </c>
      <c r="F59" s="390">
        <f t="shared" si="26"/>
        <v>0.25225225225225223</v>
      </c>
      <c r="G59" s="293">
        <f>(G38-G32)/G12</f>
        <v>0.72128602036640255</v>
      </c>
      <c r="H59" s="291">
        <f>(H38-H32)/H12</f>
        <v>1.1167808166231197</v>
      </c>
      <c r="I59" s="291" t="e">
        <f>(I38-I32)/I12</f>
        <v>#DIV/0!</v>
      </c>
      <c r="J59" s="291" t="e">
        <f t="shared" ref="J59:K59" si="27">(J38-J32)/J12</f>
        <v>#DIV/0!</v>
      </c>
      <c r="K59" s="291" t="e">
        <f t="shared" si="27"/>
        <v>#DIV/0!</v>
      </c>
    </row>
    <row r="60" spans="1:11" s="20" customFormat="1" ht="11.25" hidden="1" customHeight="1" outlineLevel="1" x14ac:dyDescent="0.2">
      <c r="A60" s="17" t="s">
        <v>394</v>
      </c>
      <c r="B60" s="291">
        <f>(B32+B47+B49)/(B35+B48)</f>
        <v>1.1311800535107119</v>
      </c>
      <c r="C60" s="292">
        <f t="shared" ref="C60:K60" si="28">(C32+C47+C49)/(C35+C48)</f>
        <v>1.2775617102156578</v>
      </c>
      <c r="D60" s="374">
        <f t="shared" ref="D60:F60" si="29">(D32+D47+D49)/(D35+D48)</f>
        <v>1.2696864111498258</v>
      </c>
      <c r="E60" s="374">
        <f t="shared" si="29"/>
        <v>1.3127930341594105</v>
      </c>
      <c r="F60" s="390">
        <f t="shared" si="29"/>
        <v>1.2986683576410907</v>
      </c>
      <c r="G60" s="293">
        <f t="shared" si="28"/>
        <v>1.1773362651433792</v>
      </c>
      <c r="H60" s="291">
        <f t="shared" si="28"/>
        <v>1.3092262474709206</v>
      </c>
      <c r="I60" s="291" t="e">
        <f t="shared" si="28"/>
        <v>#DIV/0!</v>
      </c>
      <c r="J60" s="291" t="e">
        <f t="shared" si="28"/>
        <v>#DIV/0!</v>
      </c>
      <c r="K60" s="291" t="e">
        <f t="shared" si="28"/>
        <v>#DIV/0!</v>
      </c>
    </row>
    <row r="61" spans="1:11" s="20" customFormat="1" ht="11.25" hidden="1" customHeight="1" outlineLevel="1" x14ac:dyDescent="0.2">
      <c r="A61" s="17" t="s">
        <v>476</v>
      </c>
      <c r="B61" s="291">
        <f>(B32+B47+B49)/(B38+B48)</f>
        <v>0.92367767539018808</v>
      </c>
      <c r="C61" s="292">
        <f t="shared" ref="C61:K61" si="30">(C32+C47+C49)/(C38+C48)</f>
        <v>1.0050645616002556</v>
      </c>
      <c r="D61" s="374">
        <f t="shared" ref="D61:F61" si="31">(D32+D47+D49)/(D38+D48)</f>
        <v>1.0150417827298051</v>
      </c>
      <c r="E61" s="374">
        <f t="shared" si="31"/>
        <v>0.99039919151086409</v>
      </c>
      <c r="F61" s="390">
        <f t="shared" si="31"/>
        <v>0.96923805016564124</v>
      </c>
      <c r="G61" s="293">
        <f t="shared" si="30"/>
        <v>0.96828295092968519</v>
      </c>
      <c r="H61" s="291">
        <f>(H32+H47+H49)/(H38+H48)</f>
        <v>1.0291587580491686</v>
      </c>
      <c r="I61" s="291" t="e">
        <f t="shared" si="30"/>
        <v>#DIV/0!</v>
      </c>
      <c r="J61" s="291" t="e">
        <f t="shared" si="30"/>
        <v>#DIV/0!</v>
      </c>
      <c r="K61" s="291" t="e">
        <f t="shared" si="30"/>
        <v>#DIV/0!</v>
      </c>
    </row>
    <row r="62" spans="1:11" s="20" customFormat="1" ht="11.25" hidden="1" customHeight="1" outlineLevel="1" x14ac:dyDescent="0.2">
      <c r="A62" s="17" t="s">
        <v>396</v>
      </c>
      <c r="B62" s="291">
        <f>((B32+B47+B49)*0.75)/(B35+B48)</f>
        <v>0.84838504013303395</v>
      </c>
      <c r="C62" s="292">
        <f t="shared" ref="C62:K62" si="32">((C32+C47+C49)*0.75)/(C35+C48)</f>
        <v>0.95817128266174334</v>
      </c>
      <c r="D62" s="374">
        <f t="shared" ref="D62:F62" si="33">((D32+D47+D49)*0.75)/(D35+D48)</f>
        <v>0.95226480836236937</v>
      </c>
      <c r="E62" s="374">
        <f t="shared" si="33"/>
        <v>0.98459477561955788</v>
      </c>
      <c r="F62" s="390">
        <f t="shared" si="33"/>
        <v>0.97400126823081801</v>
      </c>
      <c r="G62" s="293">
        <f t="shared" si="32"/>
        <v>0.88300219885753428</v>
      </c>
      <c r="H62" s="291">
        <f t="shared" si="32"/>
        <v>0.98191968560319054</v>
      </c>
      <c r="I62" s="291" t="e">
        <f t="shared" si="32"/>
        <v>#DIV/0!</v>
      </c>
      <c r="J62" s="291" t="e">
        <f t="shared" si="32"/>
        <v>#DIV/0!</v>
      </c>
      <c r="K62" s="291" t="e">
        <f t="shared" si="32"/>
        <v>#DIV/0!</v>
      </c>
    </row>
    <row r="63" spans="1:11" s="20" customFormat="1" ht="11.25" hidden="1" customHeight="1" outlineLevel="1" x14ac:dyDescent="0.2">
      <c r="A63" s="17" t="s">
        <v>477</v>
      </c>
      <c r="B63" s="291">
        <f>((B32+B47+B49)*0.75)/(B36+B48)</f>
        <v>0.7682153451393402</v>
      </c>
      <c r="C63" s="292">
        <f t="shared" ref="C63:K63" si="34">((C32+C47+C49)*0.75)/(C36+C48)</f>
        <v>0.81842867659532414</v>
      </c>
      <c r="D63" s="374">
        <f t="shared" ref="D63:F63" si="35">((D32+D47+D49)*0.75)/(D36+D48)</f>
        <v>0.95226480836236937</v>
      </c>
      <c r="E63" s="374">
        <f t="shared" si="35"/>
        <v>0.98459477561955788</v>
      </c>
      <c r="F63" s="390">
        <f t="shared" si="35"/>
        <v>0.97400126823081801</v>
      </c>
      <c r="G63" s="293">
        <f t="shared" si="34"/>
        <v>0.79219911962310585</v>
      </c>
      <c r="H63" s="291">
        <f t="shared" si="34"/>
        <v>0.84272300469483563</v>
      </c>
      <c r="I63" s="291" t="e">
        <f t="shared" si="34"/>
        <v>#DIV/0!</v>
      </c>
      <c r="J63" s="291" t="e">
        <f t="shared" si="34"/>
        <v>#DIV/0!</v>
      </c>
      <c r="K63" s="291" t="e">
        <f t="shared" si="34"/>
        <v>#DIV/0!</v>
      </c>
    </row>
    <row r="64" spans="1:11" collapsed="1" x14ac:dyDescent="0.2">
      <c r="A64" s="1" t="s">
        <v>53</v>
      </c>
      <c r="B64" s="303">
        <f>B17/B38</f>
        <v>-0.11221547747299798</v>
      </c>
      <c r="C64" s="304">
        <f>C17/C38</f>
        <v>-5.7373683978679382E-2</v>
      </c>
      <c r="D64" s="378">
        <f t="shared" ref="D64:F64" si="36">D17/D38</f>
        <v>0.50019444444444439</v>
      </c>
      <c r="E64" s="378">
        <f t="shared" si="36"/>
        <v>0.37030864197530866</v>
      </c>
      <c r="F64" s="393">
        <f t="shared" si="36"/>
        <v>0.16026119402985073</v>
      </c>
      <c r="G64" s="305">
        <f>G17/G38</f>
        <v>-6.2655491839435362E-2</v>
      </c>
      <c r="H64" s="303">
        <f>H17/H38</f>
        <v>1.8859987024572235E-2</v>
      </c>
      <c r="I64" s="303" t="e">
        <f>I17/I38</f>
        <v>#DIV/0!</v>
      </c>
      <c r="J64" s="303" t="e">
        <f t="shared" ref="J64:K64" si="37">J17/J38</f>
        <v>#DIV/0!</v>
      </c>
      <c r="K64" s="303" t="e">
        <f t="shared" si="37"/>
        <v>#DIV/0!</v>
      </c>
    </row>
    <row r="65" spans="1:11" s="20" customFormat="1" ht="11.25" customHeight="1" outlineLevel="1" x14ac:dyDescent="0.2">
      <c r="A65" s="17" t="s">
        <v>124</v>
      </c>
      <c r="B65" s="300">
        <f>B17/AVERAGE(B38:C38)</f>
        <v>-0.11335951186885269</v>
      </c>
      <c r="C65" s="301">
        <f>C17/AVERAGE(C38:G38)</f>
        <v>-6.4700797806281157E-2</v>
      </c>
      <c r="D65" s="377">
        <f t="shared" ref="D65:F65" si="38">D17/AVERAGE(D38:E38)</f>
        <v>0.42569739952718677</v>
      </c>
      <c r="E65" s="377">
        <f t="shared" si="38"/>
        <v>0.35219178082191782</v>
      </c>
      <c r="F65" s="392">
        <f t="shared" si="38"/>
        <v>0.15579233733847198</v>
      </c>
      <c r="G65" s="302">
        <f t="shared" ref="G65:J65" si="39">G17/AVERAGE(G38:H38)</f>
        <v>-6.1296108016481408E-2</v>
      </c>
      <c r="H65" s="300">
        <f t="shared" si="39"/>
        <v>1.8859987024572235E-2</v>
      </c>
      <c r="I65" s="300" t="e">
        <f t="shared" si="39"/>
        <v>#DIV/0!</v>
      </c>
      <c r="J65" s="300" t="e">
        <f t="shared" si="39"/>
        <v>#DIV/0!</v>
      </c>
      <c r="K65" s="300"/>
    </row>
    <row r="66" spans="1:11" x14ac:dyDescent="0.2">
      <c r="A66" s="1" t="s">
        <v>52</v>
      </c>
      <c r="B66" s="303">
        <f>B22/B38</f>
        <v>-4.6074348774895718E-2</v>
      </c>
      <c r="C66" s="304">
        <f>C22/C38</f>
        <v>0.10807101008766132</v>
      </c>
      <c r="D66" s="378">
        <f t="shared" ref="D66:F66" si="40">D22/D38</f>
        <v>0.12277777777777779</v>
      </c>
      <c r="E66" s="378">
        <f t="shared" si="40"/>
        <v>8.6831275720164622E-2</v>
      </c>
      <c r="F66" s="393">
        <f t="shared" si="40"/>
        <v>9.6828358208955224E-3</v>
      </c>
      <c r="G66" s="305">
        <f>G22/G38</f>
        <v>0.37914777238641378</v>
      </c>
      <c r="H66" s="303">
        <f>H22/H38</f>
        <v>0.71490552266645024</v>
      </c>
      <c r="I66" s="303" t="e">
        <f>I22/I38</f>
        <v>#DIV/0!</v>
      </c>
      <c r="J66" s="303" t="e">
        <f t="shared" ref="J66:K66" si="41">J22/J38</f>
        <v>#DIV/0!</v>
      </c>
      <c r="K66" s="303" t="e">
        <f t="shared" si="41"/>
        <v>#DIV/0!</v>
      </c>
    </row>
    <row r="67" spans="1:11" s="20" customFormat="1" ht="11.25" customHeight="1" outlineLevel="1" x14ac:dyDescent="0.2">
      <c r="A67" s="17" t="s">
        <v>122</v>
      </c>
      <c r="B67" s="300">
        <f t="shared" ref="B67" si="42">B22/(AVERAGE(B38:C38))</f>
        <v>-4.654407577648309E-2</v>
      </c>
      <c r="C67" s="301">
        <f>C22/(AVERAGE(C38:G38))</f>
        <v>0.12187260931336996</v>
      </c>
      <c r="D67" s="377">
        <f t="shared" ref="D67:F67" si="43">D22/(AVERAGE(D38:E38))</f>
        <v>0.10449172576832153</v>
      </c>
      <c r="E67" s="377">
        <f t="shared" si="43"/>
        <v>8.2583170254403135E-2</v>
      </c>
      <c r="F67" s="392">
        <f t="shared" si="43"/>
        <v>9.4128315574699625E-3</v>
      </c>
      <c r="G67" s="302">
        <f>G22/(AVERAGE(G38:H38))</f>
        <v>0.37092172015763342</v>
      </c>
      <c r="H67" s="300">
        <f>H22/(AVERAGE(H38:I38))</f>
        <v>0.71490552266645024</v>
      </c>
      <c r="I67" s="300" t="e">
        <f t="shared" ref="I67:J67" si="44">I22/(AVERAGE(I38:J38))</f>
        <v>#DIV/0!</v>
      </c>
      <c r="J67" s="300" t="e">
        <f t="shared" si="44"/>
        <v>#DIV/0!</v>
      </c>
      <c r="K67" s="300"/>
    </row>
    <row r="68" spans="1:11" s="20" customFormat="1" x14ac:dyDescent="0.2">
      <c r="A68" s="20" t="s">
        <v>116</v>
      </c>
      <c r="B68" s="303">
        <f>-B26/B22</f>
        <v>0</v>
      </c>
      <c r="C68" s="304">
        <f t="shared" ref="C68:I68" si="45">-C26/C22</f>
        <v>0</v>
      </c>
      <c r="D68" s="378">
        <f t="shared" ref="D68:F68" si="46">-D26/D22</f>
        <v>0</v>
      </c>
      <c r="E68" s="378">
        <f t="shared" si="46"/>
        <v>0</v>
      </c>
      <c r="F68" s="393">
        <f t="shared" si="46"/>
        <v>0</v>
      </c>
      <c r="G68" s="305">
        <f t="shared" si="45"/>
        <v>0</v>
      </c>
      <c r="H68" s="303">
        <f t="shared" si="45"/>
        <v>0</v>
      </c>
      <c r="I68" s="303" t="e">
        <f t="shared" si="45"/>
        <v>#DIV/0!</v>
      </c>
      <c r="J68" s="303" t="e">
        <f t="shared" ref="J68:K68" si="47">-J26/J22</f>
        <v>#DIV/0!</v>
      </c>
      <c r="K68" s="303" t="e">
        <f t="shared" si="47"/>
        <v>#DIV/0!</v>
      </c>
    </row>
    <row r="69" spans="1:11" x14ac:dyDescent="0.2">
      <c r="A69" s="1" t="s">
        <v>51</v>
      </c>
      <c r="B69" s="303">
        <f>B38/B40</f>
        <v>0.4085194260009225</v>
      </c>
      <c r="C69" s="304">
        <f>C38/C40</f>
        <v>0.3642643820326405</v>
      </c>
      <c r="D69" s="378">
        <f t="shared" ref="D69:F69" si="48">D38/D40</f>
        <v>0.27169811320754716</v>
      </c>
      <c r="E69" s="378">
        <f t="shared" si="48"/>
        <v>0.35422740524781343</v>
      </c>
      <c r="F69" s="393">
        <f t="shared" si="48"/>
        <v>0.37144837144837145</v>
      </c>
      <c r="G69" s="305">
        <f>G38/G40</f>
        <v>0.38089266320418941</v>
      </c>
      <c r="H69" s="303">
        <f>H38/H40</f>
        <v>0.33092509949200094</v>
      </c>
      <c r="I69" s="303" t="e">
        <f>I38/I40</f>
        <v>#DIV/0!</v>
      </c>
      <c r="J69" s="303" t="e">
        <f t="shared" ref="J69:K69" si="49">J38/J40</f>
        <v>#DIV/0!</v>
      </c>
      <c r="K69" s="303" t="e">
        <f t="shared" si="49"/>
        <v>#DIV/0!</v>
      </c>
    </row>
    <row r="70" spans="1:11" ht="15" x14ac:dyDescent="0.25">
      <c r="A70" s="15" t="s">
        <v>50</v>
      </c>
      <c r="B70" s="16"/>
      <c r="C70" s="16"/>
      <c r="D70" s="395"/>
      <c r="E70" s="395"/>
      <c r="F70" s="395"/>
      <c r="G70" s="369"/>
      <c r="H70" s="16"/>
      <c r="I70" s="16"/>
      <c r="J70" s="16"/>
      <c r="K70" s="16"/>
    </row>
    <row r="71" spans="1:11" x14ac:dyDescent="0.2">
      <c r="A71" s="1" t="s">
        <v>49</v>
      </c>
      <c r="B71" s="303">
        <f>B43/B34</f>
        <v>0.5964144687094165</v>
      </c>
      <c r="C71" s="304">
        <f t="shared" ref="C71:I71" si="50">C43/C34</f>
        <v>0.58571196630506406</v>
      </c>
      <c r="D71" s="381" t="s">
        <v>97</v>
      </c>
      <c r="E71" s="382" t="s">
        <v>97</v>
      </c>
      <c r="F71" s="383" t="s">
        <v>97</v>
      </c>
      <c r="G71" s="305">
        <f t="shared" si="50"/>
        <v>0.59981340128086025</v>
      </c>
      <c r="H71" s="303">
        <f t="shared" si="50"/>
        <v>0.56076033992551122</v>
      </c>
      <c r="I71" s="303" t="e">
        <f t="shared" si="50"/>
        <v>#DIV/0!</v>
      </c>
      <c r="J71" s="303" t="e">
        <f t="shared" ref="J71:K71" si="51">J43/J34</f>
        <v>#DIV/0!</v>
      </c>
      <c r="K71" s="303" t="e">
        <f t="shared" si="51"/>
        <v>#DIV/0!</v>
      </c>
    </row>
    <row r="72" spans="1:11" x14ac:dyDescent="0.2">
      <c r="A72" s="1" t="s">
        <v>48</v>
      </c>
      <c r="B72" s="294">
        <f>B43/B44</f>
        <v>1.0706885132494466</v>
      </c>
      <c r="C72" s="295">
        <f t="shared" ref="C72:I72" si="52">C43/C44</f>
        <v>1.1554268780603085</v>
      </c>
      <c r="D72" s="371">
        <f t="shared" si="52"/>
        <v>1.2341982701264138</v>
      </c>
      <c r="E72" s="384">
        <f t="shared" si="52"/>
        <v>1.2271390203350812</v>
      </c>
      <c r="F72" s="385">
        <f t="shared" si="52"/>
        <v>1.2168543407192154</v>
      </c>
      <c r="G72" s="296">
        <f t="shared" si="52"/>
        <v>1.135198028769445</v>
      </c>
      <c r="H72" s="294">
        <f t="shared" si="52"/>
        <v>1.2157640043714306</v>
      </c>
      <c r="I72" s="294" t="e">
        <f t="shared" si="52"/>
        <v>#DIV/0!</v>
      </c>
      <c r="J72" s="294" t="e">
        <f t="shared" ref="J72:K72" si="53">J43/J44</f>
        <v>#DIV/0!</v>
      </c>
      <c r="K72" s="294" t="e">
        <f t="shared" si="53"/>
        <v>#DIV/0!</v>
      </c>
    </row>
    <row r="73" spans="1:11" ht="15" x14ac:dyDescent="0.25">
      <c r="A73" s="15" t="s">
        <v>47</v>
      </c>
      <c r="B73" s="15"/>
      <c r="C73" s="15"/>
      <c r="D73" s="395"/>
      <c r="E73" s="395"/>
      <c r="F73" s="395"/>
      <c r="G73" s="370"/>
      <c r="H73" s="15"/>
      <c r="I73" s="15"/>
      <c r="J73" s="15"/>
      <c r="K73" s="15"/>
    </row>
    <row r="74" spans="1:11" x14ac:dyDescent="0.2">
      <c r="A74" s="1" t="s">
        <v>46</v>
      </c>
      <c r="B74" s="303">
        <f>B10/C10-1</f>
        <v>1.6902680108440871E-2</v>
      </c>
      <c r="C74" s="304"/>
      <c r="D74" s="378">
        <f t="shared" ref="D74:F74" si="54">D10/E10-1</f>
        <v>-7.3638856247551954E-2</v>
      </c>
      <c r="E74" s="378">
        <f t="shared" si="54"/>
        <v>-6.1138181483865073E-2</v>
      </c>
      <c r="F74" s="393">
        <f t="shared" si="54"/>
        <v>-3.143055489759361E-2</v>
      </c>
      <c r="G74" s="305">
        <f>G10/H10-1</f>
        <v>-5.5452198873116365E-2</v>
      </c>
      <c r="H74" s="303"/>
      <c r="I74" s="303" t="e">
        <f t="shared" ref="I74:J74" si="55">I10/J10-1</f>
        <v>#DIV/0!</v>
      </c>
      <c r="J74" s="303" t="e">
        <f t="shared" si="55"/>
        <v>#DIV/0!</v>
      </c>
      <c r="K74" s="303"/>
    </row>
    <row r="75" spans="1:11" s="20" customFormat="1" x14ac:dyDescent="0.2">
      <c r="A75" s="20" t="s">
        <v>474</v>
      </c>
      <c r="B75" s="303">
        <f>B11/B10</f>
        <v>1.5106245447546122E-2</v>
      </c>
      <c r="C75" s="304">
        <f>C11/C10</f>
        <v>1.8139636281623361E-2</v>
      </c>
      <c r="D75" s="378">
        <f t="shared" ref="D75:F75" si="56">D11/D10</f>
        <v>7.1141649048625799E-2</v>
      </c>
      <c r="E75" s="378">
        <f t="shared" si="56"/>
        <v>6.9526047786917358E-2</v>
      </c>
      <c r="F75" s="393">
        <f t="shared" si="56"/>
        <v>6.3528546474211633E-2</v>
      </c>
      <c r="G75" s="305">
        <f>G11/G10</f>
        <v>1.8060966179410713E-2</v>
      </c>
      <c r="H75" s="303">
        <f>H11/H10</f>
        <v>2.6246148936741088E-2</v>
      </c>
      <c r="I75" s="303" t="e">
        <f t="shared" ref="I75:K75" si="57">I11/I10</f>
        <v>#DIV/0!</v>
      </c>
      <c r="J75" s="303" t="e">
        <f t="shared" si="57"/>
        <v>#DIV/0!</v>
      </c>
      <c r="K75" s="303" t="e">
        <f t="shared" si="57"/>
        <v>#DIV/0!</v>
      </c>
    </row>
    <row r="76" spans="1:11" s="20" customFormat="1" x14ac:dyDescent="0.2">
      <c r="A76" s="20" t="s">
        <v>113</v>
      </c>
      <c r="B76" s="303">
        <f>B14/B10</f>
        <v>-1.5051340572950427E-2</v>
      </c>
      <c r="C76" s="304">
        <f t="shared" ref="C76:I76" si="58">C14/C10</f>
        <v>-3.6963042100404846E-2</v>
      </c>
      <c r="D76" s="378">
        <f t="shared" ref="D76:F76" si="59">D14/D10</f>
        <v>2.1353065539112051E-3</v>
      </c>
      <c r="E76" s="378">
        <f t="shared" si="59"/>
        <v>3.5742264003133569E-4</v>
      </c>
      <c r="F76" s="393">
        <f t="shared" si="59"/>
        <v>-7.9893352946584541E-3</v>
      </c>
      <c r="G76" s="305">
        <f t="shared" si="58"/>
        <v>-2.413899100656066E-2</v>
      </c>
      <c r="H76" s="303">
        <f t="shared" si="58"/>
        <v>-7.4500920958085739E-3</v>
      </c>
      <c r="I76" s="303" t="e">
        <f t="shared" si="58"/>
        <v>#DIV/0!</v>
      </c>
      <c r="J76" s="303" t="e">
        <f t="shared" ref="J76:K76" si="60">J14/J10</f>
        <v>#DIV/0!</v>
      </c>
      <c r="K76" s="303" t="e">
        <f t="shared" si="60"/>
        <v>#DIV/0!</v>
      </c>
    </row>
    <row r="77" spans="1:11" x14ac:dyDescent="0.2">
      <c r="A77" s="1" t="s">
        <v>114</v>
      </c>
      <c r="B77" s="303">
        <f>B10/B34</f>
        <v>1.4899615241992821</v>
      </c>
      <c r="C77" s="304">
        <f t="shared" ref="C77:I77" si="61">C10/C34</f>
        <v>1.4304419307753178</v>
      </c>
      <c r="D77" s="381" t="s">
        <v>97</v>
      </c>
      <c r="E77" s="381" t="s">
        <v>97</v>
      </c>
      <c r="F77" s="394" t="s">
        <v>97</v>
      </c>
      <c r="G77" s="305">
        <f t="shared" si="61"/>
        <v>2.9447679853657935</v>
      </c>
      <c r="H77" s="303">
        <f t="shared" si="61"/>
        <v>3.0176356283195451</v>
      </c>
      <c r="I77" s="303" t="e">
        <f t="shared" si="61"/>
        <v>#DIV/0!</v>
      </c>
      <c r="J77" s="303" t="e">
        <f t="shared" ref="J77:K77" si="62">J10/J34</f>
        <v>#DIV/0!</v>
      </c>
      <c r="K77" s="303" t="e">
        <f t="shared" si="62"/>
        <v>#DIV/0!</v>
      </c>
    </row>
    <row r="78" spans="1:11" x14ac:dyDescent="0.2">
      <c r="A78" s="1" t="s">
        <v>115</v>
      </c>
      <c r="B78" s="294">
        <f>B34/B39</f>
        <v>4.4311790953297416</v>
      </c>
      <c r="C78" s="295">
        <f t="shared" ref="C78:I78" si="63">C34/C39</f>
        <v>3.8429808637849603</v>
      </c>
      <c r="D78" s="381" t="s">
        <v>97</v>
      </c>
      <c r="E78" s="381" t="s">
        <v>97</v>
      </c>
      <c r="F78" s="394" t="s">
        <v>97</v>
      </c>
      <c r="G78" s="296">
        <f t="shared" si="63"/>
        <v>4.1397337391798974</v>
      </c>
      <c r="H78" s="294">
        <f t="shared" si="63"/>
        <v>3.2923277217811009</v>
      </c>
      <c r="I78" s="294" t="e">
        <f t="shared" si="63"/>
        <v>#DIV/0!</v>
      </c>
      <c r="J78" s="294" t="e">
        <f t="shared" ref="J78:K78" si="64">J34/J39</f>
        <v>#DIV/0!</v>
      </c>
      <c r="K78" s="294" t="e">
        <f t="shared" si="64"/>
        <v>#DIV/0!</v>
      </c>
    </row>
    <row r="79" spans="1:11" x14ac:dyDescent="0.2">
      <c r="A79" s="1" t="s">
        <v>45</v>
      </c>
      <c r="B79" s="303">
        <f>B14/B39</f>
        <v>-9.9373260547610032E-2</v>
      </c>
      <c r="C79" s="304">
        <f>C14/C39</f>
        <v>-0.20319179224576417</v>
      </c>
      <c r="D79" s="381">
        <f t="shared" ref="D79:F79" si="65">D14/D39</f>
        <v>2.093264248704663E-2</v>
      </c>
      <c r="E79" s="381">
        <f t="shared" si="65"/>
        <v>4.1196388261851014E-3</v>
      </c>
      <c r="F79" s="394">
        <f t="shared" si="65"/>
        <v>-9.5810363836824702E-2</v>
      </c>
      <c r="G79" s="305">
        <f>G14/G39</f>
        <v>-0.29426770675704134</v>
      </c>
      <c r="H79" s="303">
        <f>H14/H39</f>
        <v>-7.4017003454505639E-2</v>
      </c>
      <c r="I79" s="303" t="e">
        <f>I14/I39</f>
        <v>#DIV/0!</v>
      </c>
      <c r="J79" s="303" t="e">
        <f t="shared" ref="J79:K79" si="66">J14/J39</f>
        <v>#DIV/0!</v>
      </c>
      <c r="K79" s="303" t="e">
        <f t="shared" si="66"/>
        <v>#DIV/0!</v>
      </c>
    </row>
    <row r="80" spans="1:11" x14ac:dyDescent="0.2">
      <c r="A80" s="1" t="s">
        <v>44</v>
      </c>
      <c r="B80" s="303">
        <f>B14/B34</f>
        <v>-2.2425918341315715E-2</v>
      </c>
      <c r="C80" s="304">
        <f>C14/C34</f>
        <v>-5.2873485309432464E-2</v>
      </c>
      <c r="D80" s="381" t="s">
        <v>97</v>
      </c>
      <c r="E80" s="381" t="s">
        <v>97</v>
      </c>
      <c r="F80" s="394" t="s">
        <v>97</v>
      </c>
      <c r="G80" s="305">
        <f>G14/G34</f>
        <v>-7.1083727915152647E-2</v>
      </c>
      <c r="H80" s="303">
        <f>H14/H34</f>
        <v>-2.2481663342573784E-2</v>
      </c>
      <c r="I80" s="303" t="e">
        <f>I14/I34</f>
        <v>#DIV/0!</v>
      </c>
      <c r="J80" s="303" t="e">
        <f t="shared" ref="J80:K80" si="67">J14/J34</f>
        <v>#DIV/0!</v>
      </c>
      <c r="K80" s="303" t="e">
        <f t="shared" si="67"/>
        <v>#DIV/0!</v>
      </c>
    </row>
    <row r="81" spans="1:11" s="20" customFormat="1" x14ac:dyDescent="0.2">
      <c r="A81" s="20" t="s">
        <v>349</v>
      </c>
      <c r="B81" s="303">
        <f t="shared" ref="B81:F81" si="68">B14/(B34-B45-B46)</f>
        <v>-2.2999294320702954E-2</v>
      </c>
      <c r="C81" s="304">
        <f t="shared" si="68"/>
        <v>-5.4281128436415339E-2</v>
      </c>
      <c r="D81" s="381" t="s">
        <v>97</v>
      </c>
      <c r="E81" s="381" t="s">
        <v>97</v>
      </c>
      <c r="F81" s="394" t="s">
        <v>97</v>
      </c>
      <c r="G81" s="305">
        <f>G14/(G34-G45-G46)</f>
        <v>-7.2940614263942341E-2</v>
      </c>
      <c r="H81" s="303">
        <f t="shared" ref="H81:I81" si="69">H14/(H34-H45-H46)</f>
        <v>-2.4665045089950165E-2</v>
      </c>
      <c r="I81" s="303" t="e">
        <f t="shared" si="69"/>
        <v>#DIV/0!</v>
      </c>
      <c r="J81" s="303" t="e">
        <f t="shared" ref="J81:K81" si="70">J14/(J34-J45-J46)</f>
        <v>#DIV/0!</v>
      </c>
      <c r="K81" s="303" t="e">
        <f t="shared" si="70"/>
        <v>#DIV/0!</v>
      </c>
    </row>
    <row r="82" spans="1:11" x14ac:dyDescent="0.2">
      <c r="A82" s="1" t="s">
        <v>43</v>
      </c>
      <c r="B82" s="303">
        <f>B37/B34</f>
        <v>0.14801665831562211</v>
      </c>
      <c r="C82" s="304">
        <f>C37/C34</f>
        <v>0.14044889801039728</v>
      </c>
      <c r="D82" s="381" t="s">
        <v>97</v>
      </c>
      <c r="E82" s="381" t="s">
        <v>97</v>
      </c>
      <c r="F82" s="394" t="s">
        <v>97</v>
      </c>
      <c r="G82" s="305">
        <f>G37/G34</f>
        <v>0.14861554816258213</v>
      </c>
      <c r="H82" s="303">
        <f>H37/H34</f>
        <v>0.15022835477453617</v>
      </c>
      <c r="I82" s="303" t="e">
        <f>I37/I34</f>
        <v>#DIV/0!</v>
      </c>
      <c r="J82" s="303" t="e">
        <f t="shared" ref="J82:K82" si="71">J37/J34</f>
        <v>#DIV/0!</v>
      </c>
      <c r="K82" s="303" t="e">
        <f t="shared" si="71"/>
        <v>#DIV/0!</v>
      </c>
    </row>
    <row r="84" spans="1:11" s="20" customFormat="1" x14ac:dyDescent="0.2"/>
    <row r="85" spans="1:11" x14ac:dyDescent="0.2">
      <c r="A85" s="243" t="s">
        <v>399</v>
      </c>
    </row>
    <row r="86" spans="1:11" x14ac:dyDescent="0.2">
      <c r="A86" s="243" t="s">
        <v>398</v>
      </c>
    </row>
  </sheetData>
  <mergeCells count="6">
    <mergeCell ref="D73:F73"/>
    <mergeCell ref="D9:F9"/>
    <mergeCell ref="D16:F16"/>
    <mergeCell ref="D31:F31"/>
    <mergeCell ref="D50:F50"/>
    <mergeCell ref="D70:F70"/>
  </mergeCells>
  <pageMargins left="0.7" right="0.7" top="0.75" bottom="0.75" header="0.3" footer="0.3"/>
  <pageSetup paperSize="9" scale="65" orientation="portrait" r:id="rId1"/>
  <colBreaks count="1" manualBreakCount="1">
    <brk id="11"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R86"/>
  <sheetViews>
    <sheetView tabSelected="1" view="pageBreakPreview" zoomScale="85" zoomScaleNormal="55" zoomScaleSheetLayoutView="85" workbookViewId="0">
      <selection activeCell="B8" sqref="B8"/>
    </sheetView>
  </sheetViews>
  <sheetFormatPr defaultRowHeight="14.25" outlineLevelRow="1" outlineLevelCol="3" x14ac:dyDescent="0.2"/>
  <cols>
    <col min="1" max="1" width="41" style="20" customWidth="1"/>
    <col min="2" max="3" width="11" style="20" customWidth="1" outlineLevel="2"/>
    <col min="4" max="5" width="12.42578125" style="20" hidden="1" customWidth="1" outlineLevel="3"/>
    <col min="6" max="6" width="12.42578125" style="20" hidden="1" customWidth="1" outlineLevel="3" collapsed="1"/>
    <col min="7" max="7" width="11" style="20" customWidth="1" collapsed="1"/>
    <col min="8" max="11" width="11" style="20" customWidth="1"/>
    <col min="12" max="12" width="9.140625" style="20"/>
    <col min="13" max="13" width="20" style="20" customWidth="1"/>
    <col min="14" max="18" width="10.85546875" style="20" customWidth="1"/>
    <col min="19" max="16384" width="9.140625" style="20"/>
  </cols>
  <sheetData>
    <row r="1" spans="1:18" ht="10.5" customHeight="1" x14ac:dyDescent="0.2">
      <c r="A1" s="80" t="s">
        <v>388</v>
      </c>
      <c r="B1" s="242" t="str">
        <f>Cover!A9</f>
        <v>Y</v>
      </c>
      <c r="C1" s="242" t="str">
        <f>Cover!B9</f>
        <v>Y</v>
      </c>
      <c r="D1" s="242" t="s">
        <v>97</v>
      </c>
      <c r="E1" s="242" t="s">
        <v>97</v>
      </c>
      <c r="F1" s="367" t="s">
        <v>97</v>
      </c>
      <c r="G1" s="245" t="str">
        <f>Cover!C9</f>
        <v>Y</v>
      </c>
      <c r="H1" s="242" t="str">
        <f>Cover!D9</f>
        <v>Y</v>
      </c>
      <c r="I1" s="242">
        <f>Cover!E9</f>
        <v>0</v>
      </c>
      <c r="J1" s="242">
        <f>Cover!F9</f>
        <v>0</v>
      </c>
      <c r="K1" s="242">
        <f>Cover!G9</f>
        <v>0</v>
      </c>
    </row>
    <row r="2" spans="1:18" ht="10.5" customHeight="1" x14ac:dyDescent="0.2">
      <c r="A2" s="80" t="s">
        <v>389</v>
      </c>
      <c r="B2" s="242" t="str">
        <f>Cover!A10</f>
        <v>PwC</v>
      </c>
      <c r="C2" s="242" t="str">
        <f>Cover!B10</f>
        <v>PwC</v>
      </c>
      <c r="D2" s="242" t="s">
        <v>97</v>
      </c>
      <c r="E2" s="242" t="s">
        <v>97</v>
      </c>
      <c r="F2" s="367" t="s">
        <v>97</v>
      </c>
      <c r="G2" s="245" t="str">
        <f>Cover!C10</f>
        <v>PwC</v>
      </c>
      <c r="H2" s="242" t="str">
        <f>Cover!D10</f>
        <v>PwC</v>
      </c>
      <c r="I2" s="242" t="str">
        <f>Cover!E10</f>
        <v>Auditor</v>
      </c>
      <c r="J2" s="242" t="str">
        <f>Cover!F10</f>
        <v>Auditor</v>
      </c>
      <c r="K2" s="242" t="str">
        <f>Cover!G10</f>
        <v>Auditor</v>
      </c>
    </row>
    <row r="3" spans="1:18" ht="10.5" customHeight="1" x14ac:dyDescent="0.2">
      <c r="A3" s="80" t="s">
        <v>390</v>
      </c>
      <c r="B3" s="242" t="str">
        <f>Cover!A11</f>
        <v>Opinion</v>
      </c>
      <c r="C3" s="242" t="str">
        <f>Cover!B11</f>
        <v>Opinion</v>
      </c>
      <c r="D3" s="242" t="s">
        <v>97</v>
      </c>
      <c r="E3" s="242" t="s">
        <v>97</v>
      </c>
      <c r="F3" s="367" t="s">
        <v>97</v>
      </c>
      <c r="G3" s="245" t="str">
        <f>Cover!C11</f>
        <v>Unqualified</v>
      </c>
      <c r="H3" s="242" t="str">
        <f>Cover!D11</f>
        <v>Unqualified</v>
      </c>
      <c r="I3" s="242" t="str">
        <f>Cover!E11</f>
        <v>Opinion</v>
      </c>
      <c r="J3" s="242" t="str">
        <f>Cover!F11</f>
        <v>Opinion</v>
      </c>
      <c r="K3" s="242" t="str">
        <f>Cover!G11</f>
        <v>Opinion</v>
      </c>
    </row>
    <row r="4" spans="1:18" ht="6.75" customHeight="1" outlineLevel="1" x14ac:dyDescent="0.2">
      <c r="A4" s="80"/>
      <c r="B4" s="242"/>
      <c r="C4" s="242"/>
      <c r="D4" s="242"/>
      <c r="E4" s="242"/>
      <c r="F4" s="367"/>
      <c r="G4" s="245"/>
      <c r="H4" s="242"/>
      <c r="I4" s="242"/>
      <c r="J4" s="242"/>
      <c r="K4" s="242"/>
    </row>
    <row r="5" spans="1:18" ht="10.5" customHeight="1" outlineLevel="1" x14ac:dyDescent="0.2">
      <c r="A5" s="80" t="str">
        <f>Cover!A16</f>
        <v>Average exchange rate (EUR/USD)</v>
      </c>
      <c r="B5" s="242">
        <f>Cover!A17</f>
        <v>0.72943000000000002</v>
      </c>
      <c r="C5" s="242">
        <f>Cover!B17</f>
        <v>0.76166500000000004</v>
      </c>
      <c r="D5" s="242">
        <v>0.75324000000000002</v>
      </c>
      <c r="E5" s="367">
        <v>0.75324000000000002</v>
      </c>
      <c r="F5" s="367">
        <v>0.75324000000000002</v>
      </c>
      <c r="G5" s="245">
        <f>Cover!C17</f>
        <v>0.75324000000000002</v>
      </c>
      <c r="H5" s="242">
        <f>Cover!D17</f>
        <v>0.77815499999999993</v>
      </c>
      <c r="I5" s="242">
        <f>Cover!E17</f>
        <v>0.71886499999999998</v>
      </c>
      <c r="J5" s="242">
        <f>Cover!F17</f>
        <v>0.75475999999999999</v>
      </c>
      <c r="K5" s="242">
        <f>Cover!G17</f>
        <v>0.719055</v>
      </c>
      <c r="M5" s="248"/>
    </row>
    <row r="6" spans="1:18" ht="10.5" customHeight="1" outlineLevel="1" x14ac:dyDescent="0.2">
      <c r="A6" s="80" t="s">
        <v>401</v>
      </c>
      <c r="B6" s="275">
        <f>B5/C5-1</f>
        <v>-4.2321755627474089E-2</v>
      </c>
      <c r="C6" s="242"/>
      <c r="D6" s="366">
        <f>D5/E5-1</f>
        <v>0</v>
      </c>
      <c r="E6" s="366">
        <f>E5/F5-1</f>
        <v>0</v>
      </c>
      <c r="F6" s="366">
        <f>F5/G5-1</f>
        <v>0</v>
      </c>
      <c r="G6" s="276">
        <f>G5/H5-1</f>
        <v>-3.201804267787256E-2</v>
      </c>
      <c r="H6" s="275">
        <f t="shared" ref="H6:J6" si="0">H5/I5-1</f>
        <v>8.2477238424460753E-2</v>
      </c>
      <c r="I6" s="275">
        <f t="shared" si="0"/>
        <v>-4.7558164184641538E-2</v>
      </c>
      <c r="J6" s="275">
        <f t="shared" si="0"/>
        <v>4.965545055663334E-2</v>
      </c>
      <c r="K6" s="242"/>
    </row>
    <row r="7" spans="1:18" ht="6.75" customHeight="1" x14ac:dyDescent="0.2">
      <c r="A7" s="80"/>
      <c r="B7" s="242"/>
      <c r="C7" s="242"/>
      <c r="D7" s="242"/>
      <c r="E7" s="242"/>
      <c r="F7" s="367"/>
      <c r="G7" s="245"/>
      <c r="H7" s="242"/>
      <c r="I7" s="242"/>
      <c r="J7" s="242"/>
      <c r="K7" s="242"/>
    </row>
    <row r="8" spans="1:18" x14ac:dyDescent="0.2">
      <c r="A8" s="20" t="s">
        <v>400</v>
      </c>
      <c r="B8" s="287" t="str">
        <f>Cover!A8</f>
        <v>H1 2014</v>
      </c>
      <c r="C8" s="287" t="str">
        <f>Cover!B8</f>
        <v>H1 2013</v>
      </c>
      <c r="D8" s="368" t="s">
        <v>498</v>
      </c>
      <c r="E8" s="368" t="s">
        <v>499</v>
      </c>
      <c r="F8" s="388" t="s">
        <v>500</v>
      </c>
      <c r="G8" s="288" t="str">
        <f>Cover!C8</f>
        <v>12/31/2013</v>
      </c>
      <c r="H8" s="287" t="str">
        <f>Cover!D8</f>
        <v>12/31/2012</v>
      </c>
      <c r="I8" s="287">
        <f>Cover!E8</f>
        <v>0</v>
      </c>
      <c r="J8" s="287">
        <f>Cover!F8</f>
        <v>0</v>
      </c>
      <c r="K8" s="287">
        <f>Cover!G8</f>
        <v>0</v>
      </c>
    </row>
    <row r="9" spans="1:18" ht="15" x14ac:dyDescent="0.25">
      <c r="A9" s="15" t="s">
        <v>78</v>
      </c>
      <c r="B9" s="16"/>
      <c r="C9" s="16"/>
      <c r="D9" s="396" t="s">
        <v>501</v>
      </c>
      <c r="E9" s="396"/>
      <c r="F9" s="397"/>
      <c r="G9" s="246"/>
      <c r="H9" s="16"/>
      <c r="I9" s="16"/>
      <c r="J9" s="16"/>
      <c r="K9" s="16"/>
      <c r="M9" s="15" t="s">
        <v>103</v>
      </c>
      <c r="N9" s="15"/>
      <c r="O9" s="15"/>
      <c r="P9" s="75"/>
      <c r="Q9" s="15"/>
      <c r="R9" s="15"/>
    </row>
    <row r="10" spans="1:18" x14ac:dyDescent="0.2">
      <c r="A10" s="20" t="s">
        <v>128</v>
      </c>
      <c r="B10" s="294">
        <v>5536.8490000000002</v>
      </c>
      <c r="C10" s="295">
        <v>5444.817</v>
      </c>
      <c r="D10" s="371">
        <f>'3. Financials (Foreign)'!D10*1.327598</f>
        <v>12559.077080000001</v>
      </c>
      <c r="E10" s="371">
        <f>'3. Financials (Foreign)'!E10*1.327598</f>
        <v>13557.430776000001</v>
      </c>
      <c r="F10" s="375">
        <f>'3. Financials (Foreign)'!F10*1.327598</f>
        <v>14440.283446000001</v>
      </c>
      <c r="G10" s="296">
        <v>14908.878976156337</v>
      </c>
      <c r="H10" s="294">
        <v>15278.767083678702</v>
      </c>
      <c r="I10" s="294"/>
      <c r="J10" s="294"/>
      <c r="K10" s="294"/>
      <c r="M10" s="20" t="s">
        <v>85</v>
      </c>
      <c r="N10" s="23"/>
      <c r="O10" s="23"/>
      <c r="P10" s="23"/>
      <c r="Q10" s="23"/>
      <c r="R10" s="23"/>
    </row>
    <row r="11" spans="1:18" x14ac:dyDescent="0.2">
      <c r="A11" s="20" t="s">
        <v>77</v>
      </c>
      <c r="B11" s="294">
        <f>+B10-5157.553-295.655</f>
        <v>83.641000000000304</v>
      </c>
      <c r="C11" s="295">
        <f>C10-5081.667-264.383</f>
        <v>98.766999999999655</v>
      </c>
      <c r="D11" s="371">
        <f>'3. Financials (Foreign)'!D11*1.327598</f>
        <v>893.47345400000006</v>
      </c>
      <c r="E11" s="371">
        <f>'3. Financials (Foreign)'!E11*1.327598</f>
        <v>942.59458000000006</v>
      </c>
      <c r="F11" s="375">
        <f>'3. Financials (Foreign)'!F11*1.327598</f>
        <v>917.37021800000002</v>
      </c>
      <c r="G11" s="296">
        <v>269.26875896128701</v>
      </c>
      <c r="H11" s="294">
        <v>401.00879644800852</v>
      </c>
      <c r="I11" s="294"/>
      <c r="J11" s="294"/>
      <c r="K11" s="294"/>
      <c r="M11" s="76" t="s">
        <v>104</v>
      </c>
      <c r="N11" s="23"/>
      <c r="O11" s="23"/>
      <c r="P11" s="23"/>
      <c r="Q11" s="23"/>
      <c r="R11" s="23"/>
    </row>
    <row r="12" spans="1:18" x14ac:dyDescent="0.2">
      <c r="A12" s="20" t="s">
        <v>76</v>
      </c>
      <c r="B12" s="294">
        <f>'1. EBITDA cleaner'!E6</f>
        <v>3.9470000000000063</v>
      </c>
      <c r="C12" s="295">
        <f>'1. EBITDA cleaner'!F6</f>
        <v>13.817999999999957</v>
      </c>
      <c r="D12" s="371">
        <f>'3. Financials (Foreign)'!D12*1.327598</f>
        <v>305.34754000000004</v>
      </c>
      <c r="E12" s="371">
        <f>'3. Financials (Foreign)'!E12*1.327598</f>
        <v>285.43357000000003</v>
      </c>
      <c r="F12" s="375">
        <f>'3. Financials (Foreign)'!F12*1.327598</f>
        <v>147.36337800000001</v>
      </c>
      <c r="G12" s="296">
        <v>110.29419574106528</v>
      </c>
      <c r="H12" s="294">
        <v>332.48388817137982</v>
      </c>
      <c r="I12" s="294">
        <f>'1. EBITDA cleaner'!I6</f>
        <v>0</v>
      </c>
      <c r="J12" s="294">
        <f>'1. EBITDA cleaner'!J6</f>
        <v>0</v>
      </c>
      <c r="K12" s="294">
        <f>'1. EBITDA cleaner'!K6</f>
        <v>0</v>
      </c>
      <c r="M12" s="76" t="s">
        <v>105</v>
      </c>
      <c r="N12" s="23"/>
      <c r="O12" s="23"/>
      <c r="P12" s="23"/>
      <c r="Q12" s="23"/>
      <c r="R12" s="23"/>
    </row>
    <row r="13" spans="1:18" x14ac:dyDescent="0.2">
      <c r="A13" s="20" t="s">
        <v>402</v>
      </c>
      <c r="B13" s="294">
        <f>'1. EBITDA cleaner'!E26*-1</f>
        <v>-28.787000000000006</v>
      </c>
      <c r="C13" s="295">
        <f>'1. EBITDA cleaner'!F26*-1</f>
        <v>-3.5079999999999956</v>
      </c>
      <c r="D13" s="371">
        <f>'3. Financials (Foreign)'!D13*1.327598</f>
        <v>-37.172744000000002</v>
      </c>
      <c r="E13" s="371">
        <f>'3. Financials (Foreign)'!E13*1.327598</f>
        <v>-37.172744000000002</v>
      </c>
      <c r="F13" s="375">
        <f>'3. Financials (Foreign)'!F13*1.327598</f>
        <v>-40.890018400000002</v>
      </c>
      <c r="G13" s="296">
        <v>-39.083160745579086</v>
      </c>
      <c r="H13" s="294">
        <v>-66.675662303782687</v>
      </c>
      <c r="I13" s="294">
        <f>'1. EBITDA cleaner'!I26*-1</f>
        <v>0</v>
      </c>
      <c r="J13" s="294">
        <f>'1. EBITDA cleaner'!J26*-1</f>
        <v>0</v>
      </c>
      <c r="K13" s="294">
        <f>'1. EBITDA cleaner'!K26*-1</f>
        <v>0</v>
      </c>
      <c r="M13" s="76" t="s">
        <v>106</v>
      </c>
      <c r="N13" s="23"/>
      <c r="O13" s="23"/>
      <c r="P13" s="23"/>
      <c r="Q13" s="23"/>
      <c r="R13" s="23"/>
    </row>
    <row r="14" spans="1:18" x14ac:dyDescent="0.2">
      <c r="A14" s="20" t="s">
        <v>0</v>
      </c>
      <c r="B14" s="294">
        <f>'1. EBITDA cleaner'!E27</f>
        <v>-83.337000000000003</v>
      </c>
      <c r="C14" s="295">
        <f>'1. EBITDA cleaner'!F27</f>
        <v>-201.25700000000001</v>
      </c>
      <c r="D14" s="371">
        <f>'3. Financials (Foreign)'!D14*1.327598</f>
        <v>26.817479599999999</v>
      </c>
      <c r="E14" s="371">
        <f>'3. Financials (Foreign)'!E14*1.327598</f>
        <v>4.8457327000000001</v>
      </c>
      <c r="F14" s="375">
        <f>'3. Financials (Foreign)'!F14*1.327598</f>
        <v>-115.36826620000001</v>
      </c>
      <c r="G14" s="296">
        <v>-359.88529552333915</v>
      </c>
      <c r="H14" s="294">
        <v>-113.82822188381492</v>
      </c>
      <c r="I14" s="294">
        <f>'1. EBITDA cleaner'!I27</f>
        <v>0</v>
      </c>
      <c r="J14" s="294">
        <f>'1. EBITDA cleaner'!J27</f>
        <v>0</v>
      </c>
      <c r="K14" s="294">
        <f>'1. EBITDA cleaner'!K27</f>
        <v>0</v>
      </c>
      <c r="M14" s="76" t="s">
        <v>107</v>
      </c>
      <c r="N14" s="23"/>
      <c r="O14" s="23"/>
      <c r="P14" s="23"/>
      <c r="Q14" s="23"/>
      <c r="R14" s="23"/>
    </row>
    <row r="15" spans="1:18" x14ac:dyDescent="0.2">
      <c r="A15" s="20" t="s">
        <v>125</v>
      </c>
      <c r="B15" s="294">
        <f>'1. EBITDA cleaner'!E10*-1</f>
        <v>11.7</v>
      </c>
      <c r="C15" s="295">
        <f>'1. EBITDA cleaner'!F10*-1</f>
        <v>14.441000000000001</v>
      </c>
      <c r="D15" s="372" t="s">
        <v>97</v>
      </c>
      <c r="E15" s="372" t="s">
        <v>97</v>
      </c>
      <c r="F15" s="389" t="s">
        <v>97</v>
      </c>
      <c r="G15" s="296">
        <v>-323.87021400881525</v>
      </c>
      <c r="H15" s="294">
        <v>-106.2487550680777</v>
      </c>
      <c r="I15" s="294">
        <f>'1. EBITDA cleaner'!I10*-1</f>
        <v>0</v>
      </c>
      <c r="J15" s="294">
        <f>'1. EBITDA cleaner'!J10*-1</f>
        <v>0</v>
      </c>
      <c r="K15" s="294">
        <f>'1. EBITDA cleaner'!K10*-1</f>
        <v>0</v>
      </c>
      <c r="M15" s="76" t="s">
        <v>108</v>
      </c>
      <c r="N15" s="23"/>
      <c r="O15" s="23"/>
      <c r="P15" s="23"/>
      <c r="Q15" s="23"/>
      <c r="R15" s="23"/>
    </row>
    <row r="16" spans="1:18" ht="15" x14ac:dyDescent="0.25">
      <c r="A16" s="15" t="s">
        <v>75</v>
      </c>
      <c r="B16" s="16"/>
      <c r="C16" s="16"/>
      <c r="D16" s="396" t="s">
        <v>501</v>
      </c>
      <c r="E16" s="396"/>
      <c r="F16" s="397"/>
      <c r="G16" s="246"/>
      <c r="H16" s="16"/>
      <c r="I16" s="16"/>
      <c r="J16" s="16"/>
      <c r="K16" s="16"/>
      <c r="M16" s="20" t="s">
        <v>109</v>
      </c>
      <c r="N16" s="23"/>
      <c r="O16" s="23"/>
      <c r="P16" s="23"/>
      <c r="Q16" s="23"/>
      <c r="R16" s="23"/>
    </row>
    <row r="17" spans="1:18" x14ac:dyDescent="0.2">
      <c r="A17" s="20" t="s">
        <v>34</v>
      </c>
      <c r="B17" s="294">
        <f>'2. FFO calculator'!F20</f>
        <v>-64.997</v>
      </c>
      <c r="C17" s="295">
        <f>'2. FFO calculator'!G20</f>
        <v>-32.561000000000021</v>
      </c>
      <c r="D17" s="371">
        <f>D19-D18</f>
        <v>239.06057186000001</v>
      </c>
      <c r="E17" s="371">
        <f>E19-E18</f>
        <v>238.92781206000001</v>
      </c>
      <c r="F17" s="375">
        <f>F19-F18</f>
        <v>114.0406682</v>
      </c>
      <c r="G17" s="296">
        <v>-47.143008868355359</v>
      </c>
      <c r="H17" s="294">
        <v>14.345471017984863</v>
      </c>
      <c r="I17" s="294">
        <f>'2. FFO calculator'!J20</f>
        <v>0</v>
      </c>
      <c r="J17" s="294">
        <f>'2. FFO calculator'!K20</f>
        <v>0</v>
      </c>
      <c r="K17" s="294">
        <f>'2. FFO calculator'!L20</f>
        <v>0</v>
      </c>
      <c r="M17" s="20" t="s">
        <v>110</v>
      </c>
      <c r="N17" s="23"/>
      <c r="O17" s="23"/>
      <c r="P17" s="23"/>
      <c r="Q17" s="23"/>
      <c r="R17" s="23"/>
    </row>
    <row r="18" spans="1:18" ht="11.25" customHeight="1" x14ac:dyDescent="0.2">
      <c r="A18" s="17" t="s">
        <v>74</v>
      </c>
      <c r="B18" s="291">
        <f>'2. FFO calculator'!F16</f>
        <v>78.146000000000001</v>
      </c>
      <c r="C18" s="292">
        <f>'2. FFO calculator'!G16</f>
        <v>157.06900000000002</v>
      </c>
      <c r="D18" s="374">
        <f>'3. Financials (Foreign)'!D18*1.327598</f>
        <v>-5.403323859999996</v>
      </c>
      <c r="E18" s="374">
        <f>'3. Financials (Foreign)'!E18*1.327598</f>
        <v>-7.9257600600000009</v>
      </c>
      <c r="F18" s="390">
        <f>'3. Financials (Foreign)'!F18*1.327598</f>
        <v>55.891875800000015</v>
      </c>
      <c r="G18" s="293">
        <v>476.96617280016989</v>
      </c>
      <c r="H18" s="291">
        <v>674.82313934884439</v>
      </c>
      <c r="I18" s="291">
        <f>'2. FFO calculator'!J16</f>
        <v>0</v>
      </c>
      <c r="J18" s="291">
        <f>'2. FFO calculator'!K16</f>
        <v>0</v>
      </c>
      <c r="K18" s="291">
        <f>'2. FFO calculator'!L16</f>
        <v>0</v>
      </c>
      <c r="M18" s="69" t="s">
        <v>111</v>
      </c>
      <c r="N18" s="77"/>
      <c r="O18" s="77"/>
      <c r="P18" s="77"/>
      <c r="Q18" s="77"/>
      <c r="R18" s="77"/>
    </row>
    <row r="19" spans="1:18" x14ac:dyDescent="0.2">
      <c r="A19" s="20" t="s">
        <v>23</v>
      </c>
      <c r="B19" s="294">
        <f>'2. FFO calculator'!F6</f>
        <v>13.148999999999999</v>
      </c>
      <c r="C19" s="295">
        <f>'2. FFO calculator'!G6</f>
        <v>124.508</v>
      </c>
      <c r="D19" s="371">
        <f>'3. Financials (Foreign)'!D19*1.327598</f>
        <v>233.65724800000001</v>
      </c>
      <c r="E19" s="371">
        <f>'3. Financials (Foreign)'!E19*1.327598</f>
        <v>231.00205200000002</v>
      </c>
      <c r="F19" s="375">
        <f>'3. Financials (Foreign)'!F19*1.327598</f>
        <v>169.93254400000001</v>
      </c>
      <c r="G19" s="296">
        <v>429.82316393181452</v>
      </c>
      <c r="H19" s="294">
        <v>689.16861036682928</v>
      </c>
      <c r="I19" s="294">
        <f>'2. FFO calculator'!J6</f>
        <v>0</v>
      </c>
      <c r="J19" s="294">
        <f>'2. FFO calculator'!K6</f>
        <v>0</v>
      </c>
      <c r="K19" s="294">
        <f>'2. FFO calculator'!L6</f>
        <v>0</v>
      </c>
    </row>
    <row r="20" spans="1:18" x14ac:dyDescent="0.2">
      <c r="A20" s="20" t="s">
        <v>73</v>
      </c>
      <c r="B20" s="294">
        <f>-0.042-3.51-0.236-0.903-35.145</f>
        <v>-39.835999999999999</v>
      </c>
      <c r="C20" s="295">
        <f>-0.212-15.561-0.117-0.61-46.675</f>
        <v>-63.174999999999997</v>
      </c>
      <c r="D20" s="371">
        <f>'3. Financials (Foreign)'!D20*1.327598</f>
        <v>-138.07019200000002</v>
      </c>
      <c r="E20" s="371">
        <f>'3. Financials (Foreign)'!E20*1.327598</f>
        <v>-138.07019200000002</v>
      </c>
      <c r="F20" s="375">
        <f>'3. Financials (Foreign)'!F20*1.327598</f>
        <v>-122.4045356</v>
      </c>
      <c r="G20" s="296">
        <v>-144.54622696617281</v>
      </c>
      <c r="H20" s="294">
        <v>-145.3900572508048</v>
      </c>
      <c r="I20" s="294"/>
      <c r="J20" s="294"/>
      <c r="K20" s="294"/>
    </row>
    <row r="21" spans="1:18" ht="11.25" customHeight="1" x14ac:dyDescent="0.2">
      <c r="A21" s="17" t="s">
        <v>72</v>
      </c>
      <c r="B21" s="291"/>
      <c r="C21" s="292"/>
      <c r="D21" s="374"/>
      <c r="E21" s="374"/>
      <c r="F21" s="390"/>
      <c r="G21" s="293">
        <v>0</v>
      </c>
      <c r="H21" s="291">
        <v>0</v>
      </c>
      <c r="I21" s="291"/>
      <c r="J21" s="291"/>
      <c r="K21" s="291"/>
    </row>
    <row r="22" spans="1:18" x14ac:dyDescent="0.2">
      <c r="A22" s="20" t="s">
        <v>71</v>
      </c>
      <c r="B22" s="294">
        <f>B19+B20</f>
        <v>-26.686999999999998</v>
      </c>
      <c r="C22" s="295">
        <f t="shared" ref="C22:K22" si="1">C19+C20</f>
        <v>61.332999999999998</v>
      </c>
      <c r="D22" s="371">
        <f>'3. Financials (Foreign)'!D22*1.327598</f>
        <v>58.679831600000007</v>
      </c>
      <c r="E22" s="371">
        <f>'3. Financials (Foreign)'!E22*1.327598</f>
        <v>56.024635600000003</v>
      </c>
      <c r="F22" s="375">
        <f>'3. Financials (Foreign)'!F22*1.327598</f>
        <v>6.8902336200000009</v>
      </c>
      <c r="G22" s="296">
        <v>285.27693696564177</v>
      </c>
      <c r="H22" s="294">
        <v>543.77855311602445</v>
      </c>
      <c r="I22" s="294">
        <f t="shared" si="1"/>
        <v>0</v>
      </c>
      <c r="J22" s="294">
        <f t="shared" si="1"/>
        <v>0</v>
      </c>
      <c r="K22" s="294">
        <f t="shared" si="1"/>
        <v>0</v>
      </c>
    </row>
    <row r="23" spans="1:18" ht="11.25" customHeight="1" outlineLevel="1" x14ac:dyDescent="0.2">
      <c r="A23" s="17" t="s">
        <v>359</v>
      </c>
      <c r="B23" s="291">
        <f>B17+B26</f>
        <v>-64.997</v>
      </c>
      <c r="C23" s="292">
        <f t="shared" ref="C23:K23" si="2">C17+C26</f>
        <v>-32.561000000000021</v>
      </c>
      <c r="D23" s="374">
        <f t="shared" si="2"/>
        <v>239.06057186000001</v>
      </c>
      <c r="E23" s="374">
        <f t="shared" si="2"/>
        <v>238.92781206000001</v>
      </c>
      <c r="F23" s="390">
        <f t="shared" si="2"/>
        <v>114.0406682</v>
      </c>
      <c r="G23" s="293">
        <v>-47.143008868355359</v>
      </c>
      <c r="H23" s="291">
        <v>14.345471017984863</v>
      </c>
      <c r="I23" s="291">
        <f t="shared" si="2"/>
        <v>0</v>
      </c>
      <c r="J23" s="291">
        <f t="shared" si="2"/>
        <v>0</v>
      </c>
      <c r="K23" s="291">
        <f t="shared" si="2"/>
        <v>0</v>
      </c>
    </row>
    <row r="24" spans="1:18" x14ac:dyDescent="0.2">
      <c r="A24" s="20" t="s">
        <v>70</v>
      </c>
      <c r="B24" s="294"/>
      <c r="C24" s="295"/>
      <c r="D24" s="371"/>
      <c r="E24" s="371"/>
      <c r="F24" s="375"/>
      <c r="G24" s="296">
        <v>0</v>
      </c>
      <c r="H24" s="319">
        <v>0</v>
      </c>
      <c r="I24" s="294"/>
      <c r="J24" s="294"/>
      <c r="K24" s="294"/>
    </row>
    <row r="25" spans="1:18" x14ac:dyDescent="0.2">
      <c r="A25" s="20" t="s">
        <v>112</v>
      </c>
      <c r="B25" s="294">
        <f>0.699+3.493</f>
        <v>4.1920000000000002</v>
      </c>
      <c r="C25" s="295">
        <f>0.09+3.915+7.814+5.911+0.03</f>
        <v>17.759999999999998</v>
      </c>
      <c r="D25" s="371"/>
      <c r="E25" s="371"/>
      <c r="F25" s="375"/>
      <c r="G25" s="317">
        <v>25.609367532260631</v>
      </c>
      <c r="H25" s="294">
        <v>9.6497484434335057</v>
      </c>
      <c r="I25" s="318"/>
      <c r="J25" s="294"/>
      <c r="K25" s="294"/>
    </row>
    <row r="26" spans="1:18" x14ac:dyDescent="0.2">
      <c r="A26" s="20" t="s">
        <v>69</v>
      </c>
      <c r="B26" s="294"/>
      <c r="C26" s="295"/>
      <c r="D26" s="371"/>
      <c r="E26" s="371"/>
      <c r="F26" s="375"/>
      <c r="G26" s="296">
        <v>0</v>
      </c>
      <c r="H26" s="320">
        <v>0</v>
      </c>
      <c r="I26" s="294"/>
      <c r="J26" s="294"/>
      <c r="K26" s="294"/>
      <c r="O26" s="20">
        <f>1/O27</f>
        <v>1.327598109500292</v>
      </c>
    </row>
    <row r="27" spans="1:18" x14ac:dyDescent="0.2">
      <c r="A27" s="20" t="s">
        <v>68</v>
      </c>
      <c r="B27" s="294"/>
      <c r="C27" s="295"/>
      <c r="D27" s="371"/>
      <c r="E27" s="371"/>
      <c r="F27" s="375"/>
      <c r="G27" s="296">
        <v>-7.8899155647602353</v>
      </c>
      <c r="H27" s="294">
        <v>0</v>
      </c>
      <c r="I27" s="294"/>
      <c r="J27" s="294"/>
      <c r="K27" s="294"/>
      <c r="O27" s="367">
        <v>0.75324000000000002</v>
      </c>
    </row>
    <row r="28" spans="1:18" x14ac:dyDescent="0.2">
      <c r="A28" s="20" t="s">
        <v>67</v>
      </c>
      <c r="B28" s="294">
        <f>-32.012-19.477</f>
        <v>-51.489000000000004</v>
      </c>
      <c r="C28" s="295">
        <v>-90.144999999999996</v>
      </c>
      <c r="D28" s="371">
        <f>'3. Financials (Foreign)'!D28*1.327598</f>
        <v>-167.27734800000002</v>
      </c>
      <c r="E28" s="371">
        <f>'3. Financials (Foreign)'!E28*1.327598</f>
        <v>-66.379900000000006</v>
      </c>
      <c r="F28" s="375">
        <f>'3. Financials (Foreign)'!F28*1.327598</f>
        <v>-41.155538</v>
      </c>
      <c r="G28" s="296">
        <v>-64.484095374648192</v>
      </c>
      <c r="H28" s="294">
        <v>-407.90716502496298</v>
      </c>
      <c r="I28" s="294"/>
      <c r="J28" s="294"/>
      <c r="K28" s="294"/>
    </row>
    <row r="29" spans="1:18" x14ac:dyDescent="0.2">
      <c r="A29" s="20" t="s">
        <v>102</v>
      </c>
      <c r="B29" s="294"/>
      <c r="C29" s="295"/>
      <c r="D29" s="371"/>
      <c r="E29" s="371"/>
      <c r="F29" s="375"/>
      <c r="G29" s="296">
        <v>0</v>
      </c>
      <c r="H29" s="294">
        <v>0</v>
      </c>
      <c r="I29" s="294"/>
      <c r="J29" s="294"/>
      <c r="K29" s="294"/>
      <c r="P29" s="321"/>
    </row>
    <row r="30" spans="1:18" hidden="1" outlineLevel="1" x14ac:dyDescent="0.2">
      <c r="A30" s="80" t="s">
        <v>121</v>
      </c>
      <c r="B30" s="294">
        <f>'1. EBITDA cleaner'!E24</f>
        <v>97.936000000000007</v>
      </c>
      <c r="C30" s="295">
        <f>'1. EBITDA cleaner'!F24</f>
        <v>329.50799999999998</v>
      </c>
      <c r="D30" s="371">
        <f>'3. Financials (Foreign)'!D30*1.327598</f>
        <v>212.41568000000001</v>
      </c>
      <c r="E30" s="371">
        <f>'3. Financials (Foreign)'!E30*1.327598</f>
        <v>223.03646400000002</v>
      </c>
      <c r="F30" s="375">
        <f>'3. Financials (Foreign)'!F30*1.327598</f>
        <v>237.64004200000002</v>
      </c>
      <c r="G30" s="296">
        <v>565.21427433487338</v>
      </c>
      <c r="H30" s="294">
        <v>313.80123497246694</v>
      </c>
      <c r="I30" s="294">
        <f>'1. EBITDA cleaner'!I24</f>
        <v>0</v>
      </c>
      <c r="J30" s="294">
        <f>'1. EBITDA cleaner'!J24</f>
        <v>0</v>
      </c>
      <c r="K30" s="294">
        <f>'1. EBITDA cleaner'!K24</f>
        <v>0</v>
      </c>
    </row>
    <row r="31" spans="1:18" ht="15" collapsed="1" x14ac:dyDescent="0.25">
      <c r="A31" s="15" t="s">
        <v>66</v>
      </c>
      <c r="B31" s="16"/>
      <c r="C31" s="16"/>
      <c r="D31" s="396" t="s">
        <v>501</v>
      </c>
      <c r="E31" s="396"/>
      <c r="F31" s="397"/>
      <c r="G31" s="246"/>
      <c r="H31" s="16"/>
      <c r="I31" s="16"/>
      <c r="J31" s="16"/>
      <c r="K31" s="16"/>
      <c r="O31" s="365">
        <f>1/1.25</f>
        <v>0.8</v>
      </c>
    </row>
    <row r="32" spans="1:18" x14ac:dyDescent="0.2">
      <c r="A32" s="20" t="s">
        <v>65</v>
      </c>
      <c r="B32" s="294">
        <v>450.77699999999999</v>
      </c>
      <c r="C32" s="295">
        <v>322.24900000000002</v>
      </c>
      <c r="D32" s="371">
        <f>'3. Financials (Foreign)'!D32*1.327598</f>
        <v>557.59116000000006</v>
      </c>
      <c r="E32" s="371">
        <f>'3. Financials (Foreign)'!E32*1.327598</f>
        <v>665.12659800000006</v>
      </c>
      <c r="F32" s="375">
        <f>'3. Financials (Foreign)'!F32*1.327598</f>
        <v>674.41978400000005</v>
      </c>
      <c r="G32" s="296">
        <v>672.86256704370453</v>
      </c>
      <c r="H32" s="294">
        <v>389.31832347025983</v>
      </c>
      <c r="I32" s="294"/>
      <c r="J32" s="294"/>
      <c r="K32" s="294"/>
    </row>
    <row r="33" spans="1:11" x14ac:dyDescent="0.2">
      <c r="A33" s="20" t="s">
        <v>384</v>
      </c>
      <c r="B33" s="294">
        <v>1154.079</v>
      </c>
      <c r="C33" s="295">
        <v>1268.345</v>
      </c>
      <c r="D33" s="371">
        <f>'3. Financials (Foreign)'!D33*1.327598</f>
        <v>1440.4438300000002</v>
      </c>
      <c r="E33" s="371">
        <f>'3. Financials (Foreign)'!E33*1.327598</f>
        <v>1399.288292</v>
      </c>
      <c r="F33" s="375">
        <f>'3. Financials (Foreign)'!F33*1.327598</f>
        <v>1484.2545640000001</v>
      </c>
      <c r="G33" s="296">
        <v>1616.2511284583929</v>
      </c>
      <c r="H33" s="294">
        <v>1656.1713283343295</v>
      </c>
      <c r="I33" s="294"/>
      <c r="J33" s="294"/>
      <c r="K33" s="294"/>
    </row>
    <row r="34" spans="1:11" x14ac:dyDescent="0.2">
      <c r="A34" s="20" t="s">
        <v>64</v>
      </c>
      <c r="B34" s="294">
        <v>3716.1019999999999</v>
      </c>
      <c r="C34" s="295">
        <v>3806.3879999999999</v>
      </c>
      <c r="D34" s="372" t="s">
        <v>133</v>
      </c>
      <c r="E34" s="372" t="s">
        <v>133</v>
      </c>
      <c r="F34" s="389" t="s">
        <v>133</v>
      </c>
      <c r="G34" s="296">
        <v>5062.8365461207577</v>
      </c>
      <c r="H34" s="294">
        <v>5063.1583681914281</v>
      </c>
      <c r="I34" s="294"/>
      <c r="J34" s="294"/>
      <c r="K34" s="294"/>
    </row>
    <row r="35" spans="1:11" outlineLevel="1" x14ac:dyDescent="0.2">
      <c r="A35" s="80" t="s">
        <v>387</v>
      </c>
      <c r="B35" s="291">
        <v>182.99100000000001</v>
      </c>
      <c r="C35" s="292">
        <v>129.31700000000001</v>
      </c>
      <c r="D35" s="374"/>
      <c r="E35" s="374"/>
      <c r="F35" s="390"/>
      <c r="G35" s="293">
        <v>240.25542987626784</v>
      </c>
      <c r="H35" s="291">
        <v>214.60634449434886</v>
      </c>
      <c r="I35" s="291"/>
      <c r="J35" s="291"/>
      <c r="K35" s="291"/>
    </row>
    <row r="36" spans="1:11" outlineLevel="1" x14ac:dyDescent="0.2">
      <c r="A36" s="80" t="s">
        <v>386</v>
      </c>
      <c r="B36" s="291">
        <v>367.05399999999997</v>
      </c>
      <c r="C36" s="292">
        <v>405.286</v>
      </c>
      <c r="D36" s="374"/>
      <c r="E36" s="374"/>
      <c r="F36" s="390"/>
      <c r="G36" s="293">
        <v>512.16079868302268</v>
      </c>
      <c r="H36" s="291">
        <v>546.02360712197446</v>
      </c>
      <c r="I36" s="291"/>
      <c r="J36" s="291"/>
      <c r="K36" s="291"/>
    </row>
    <row r="37" spans="1:11" x14ac:dyDescent="0.2">
      <c r="A37" s="20" t="s">
        <v>63</v>
      </c>
      <c r="B37" s="294">
        <f t="shared" ref="B37:C37" si="3">SUM(B35:B36)</f>
        <v>550.04499999999996</v>
      </c>
      <c r="C37" s="295">
        <f t="shared" si="3"/>
        <v>534.60300000000007</v>
      </c>
      <c r="D37" s="371">
        <f>'3. Financials (Foreign)'!D37*1.327598</f>
        <v>477.93528000000003</v>
      </c>
      <c r="E37" s="371">
        <f>'3. Financials (Foreign)'!E37*1.327598</f>
        <v>645.212628</v>
      </c>
      <c r="F37" s="375">
        <f>'3. Financials (Foreign)'!F37*1.327598</f>
        <v>711.59252800000002</v>
      </c>
      <c r="G37" s="296">
        <v>752.41622855929052</v>
      </c>
      <c r="H37" s="294">
        <v>760.6299516163233</v>
      </c>
      <c r="I37" s="294">
        <f t="shared" ref="H37:K37" si="4">SUM(I35:I36)</f>
        <v>0</v>
      </c>
      <c r="J37" s="294">
        <f t="shared" si="4"/>
        <v>0</v>
      </c>
      <c r="K37" s="294">
        <f t="shared" si="4"/>
        <v>0</v>
      </c>
    </row>
    <row r="38" spans="1:11" ht="11.25" customHeight="1" x14ac:dyDescent="0.2">
      <c r="A38" s="17" t="s">
        <v>385</v>
      </c>
      <c r="B38" s="291">
        <f>B37+9.932+19.239</f>
        <v>579.21600000000001</v>
      </c>
      <c r="C38" s="292">
        <f>C37+22.932+9.99</f>
        <v>567.52500000000009</v>
      </c>
      <c r="D38" s="374">
        <f>D37</f>
        <v>477.93528000000003</v>
      </c>
      <c r="E38" s="374">
        <f>E37</f>
        <v>645.212628</v>
      </c>
      <c r="F38" s="390">
        <f>F37</f>
        <v>711.59252800000002</v>
      </c>
      <c r="G38" s="398">
        <v>752.41622855929052</v>
      </c>
      <c r="H38" s="291">
        <v>760.6299516163233</v>
      </c>
      <c r="I38" s="291"/>
      <c r="J38" s="291"/>
      <c r="K38" s="291"/>
    </row>
    <row r="39" spans="1:11" x14ac:dyDescent="0.2">
      <c r="A39" s="20" t="s">
        <v>62</v>
      </c>
      <c r="B39" s="294">
        <v>838.62599999999998</v>
      </c>
      <c r="C39" s="295">
        <v>990.47799999999995</v>
      </c>
      <c r="D39" s="371">
        <f>'3. Financials (Foreign)'!D39*1.327598</f>
        <v>1281.1320700000001</v>
      </c>
      <c r="E39" s="371">
        <f>'3. Financials (Foreign)'!E39*1.327598</f>
        <v>1176.2518280000002</v>
      </c>
      <c r="F39" s="375">
        <f>'3. Financials (Foreign)'!F39*1.327598</f>
        <v>1204.131386</v>
      </c>
      <c r="G39" s="317">
        <v>1222.986033667888</v>
      </c>
      <c r="H39" s="294">
        <v>1537.8658493487803</v>
      </c>
      <c r="I39" s="294"/>
      <c r="J39" s="294"/>
      <c r="K39" s="294"/>
    </row>
    <row r="40" spans="1:11" x14ac:dyDescent="0.2">
      <c r="A40" s="20" t="s">
        <v>61</v>
      </c>
      <c r="B40" s="294">
        <f>+B38+B39</f>
        <v>1417.8420000000001</v>
      </c>
      <c r="C40" s="295">
        <f>+C38+C39</f>
        <v>1558.0030000000002</v>
      </c>
      <c r="D40" s="371">
        <f>D39+D37</f>
        <v>1759.0673500000003</v>
      </c>
      <c r="E40" s="371">
        <f>E39+E37</f>
        <v>1821.4644560000002</v>
      </c>
      <c r="F40" s="385">
        <f>F39+F37</f>
        <v>1915.7239140000001</v>
      </c>
      <c r="G40" s="317">
        <v>1975.4022622271784</v>
      </c>
      <c r="H40" s="294">
        <v>2298.4958009651041</v>
      </c>
      <c r="I40" s="294">
        <f>+I38+I39</f>
        <v>0</v>
      </c>
      <c r="J40" s="294">
        <f t="shared" ref="J40:K40" si="5">+J38+J39</f>
        <v>0</v>
      </c>
      <c r="K40" s="294">
        <f t="shared" si="5"/>
        <v>0</v>
      </c>
    </row>
    <row r="41" spans="1:11" x14ac:dyDescent="0.2">
      <c r="A41" s="20" t="s">
        <v>60</v>
      </c>
      <c r="B41" s="294">
        <f>B43-B44</f>
        <v>146.32600000000002</v>
      </c>
      <c r="C41" s="295">
        <f t="shared" ref="C41:K41" si="6">C43-C44</f>
        <v>299.90300000000002</v>
      </c>
      <c r="D41" s="371">
        <f t="shared" si="6"/>
        <v>467.31449599999974</v>
      </c>
      <c r="E41" s="371">
        <f t="shared" si="6"/>
        <v>471.56280960000004</v>
      </c>
      <c r="F41" s="375">
        <f t="shared" si="6"/>
        <v>475.54560360000005</v>
      </c>
      <c r="G41" s="317">
        <v>361.66693218628888</v>
      </c>
      <c r="H41" s="294">
        <v>503.88161741555342</v>
      </c>
      <c r="I41" s="294">
        <f t="shared" si="6"/>
        <v>0</v>
      </c>
      <c r="J41" s="294">
        <f t="shared" si="6"/>
        <v>0</v>
      </c>
      <c r="K41" s="294">
        <f t="shared" si="6"/>
        <v>0</v>
      </c>
    </row>
    <row r="42" spans="1:11" x14ac:dyDescent="0.2">
      <c r="A42" s="20" t="s">
        <v>117</v>
      </c>
      <c r="B42" s="294">
        <f>B14</f>
        <v>-83.337000000000003</v>
      </c>
      <c r="C42" s="295">
        <f>C14</f>
        <v>-201.25700000000001</v>
      </c>
      <c r="D42" s="371">
        <f>E42+D14</f>
        <v>-443.59034942333915</v>
      </c>
      <c r="E42" s="371">
        <f>F42+E14</f>
        <v>-470.40782902333916</v>
      </c>
      <c r="F42" s="375">
        <f>G42+F14</f>
        <v>-475.25356172333915</v>
      </c>
      <c r="G42" s="317">
        <v>-359.88529552333915</v>
      </c>
      <c r="H42" s="294">
        <v>-113.82822188381492</v>
      </c>
      <c r="I42" s="294"/>
      <c r="J42" s="294"/>
      <c r="K42" s="294"/>
    </row>
    <row r="43" spans="1:11" hidden="1" outlineLevel="1" x14ac:dyDescent="0.2">
      <c r="A43" s="80" t="s">
        <v>118</v>
      </c>
      <c r="B43" s="294">
        <v>2216.337</v>
      </c>
      <c r="C43" s="295">
        <v>2229.4470000000001</v>
      </c>
      <c r="D43" s="371">
        <f>'3. Financials (Foreign)'!D43*1.327598</f>
        <v>2462.6942899999999</v>
      </c>
      <c r="E43" s="371">
        <f>'3. Financials (Foreign)'!E43*1.327598</f>
        <v>2547.660562</v>
      </c>
      <c r="F43" s="371">
        <f>'3. Financials (Foreign)'!F43*1.327598</f>
        <v>2668.4719800000003</v>
      </c>
      <c r="G43" s="296">
        <v>3036.7572088577349</v>
      </c>
      <c r="H43" s="294">
        <v>2839.2184076437215</v>
      </c>
      <c r="I43" s="294"/>
      <c r="J43" s="294"/>
      <c r="K43" s="294"/>
    </row>
    <row r="44" spans="1:11" hidden="1" outlineLevel="1" x14ac:dyDescent="0.2">
      <c r="A44" s="80" t="s">
        <v>119</v>
      </c>
      <c r="B44" s="294">
        <v>2070.011</v>
      </c>
      <c r="C44" s="295">
        <v>1929.5440000000001</v>
      </c>
      <c r="D44" s="371">
        <f>'3. Financials (Foreign)'!D44*1.327598</f>
        <v>1995.3797940000002</v>
      </c>
      <c r="E44" s="371">
        <f>'3. Financials (Foreign)'!E44*1.327598</f>
        <v>2076.0977524</v>
      </c>
      <c r="F44" s="371">
        <f>'3. Financials (Foreign)'!F44*1.327598</f>
        <v>2192.9263764000002</v>
      </c>
      <c r="G44" s="296">
        <v>2675.0902766714457</v>
      </c>
      <c r="H44" s="294">
        <v>2335.336790228168</v>
      </c>
      <c r="I44" s="294"/>
      <c r="J44" s="294"/>
      <c r="K44" s="294"/>
    </row>
    <row r="45" spans="1:11" hidden="1" outlineLevel="1" x14ac:dyDescent="0.2">
      <c r="A45" s="80" t="s">
        <v>347</v>
      </c>
      <c r="B45" s="294"/>
      <c r="C45" s="295"/>
      <c r="D45" s="371">
        <f>'3. Financials (Foreign)'!D45*1.327598</f>
        <v>29.074396199999999</v>
      </c>
      <c r="E45" s="371">
        <f>'3. Financials (Foreign)'!E45*1.327598</f>
        <v>29.074396199999999</v>
      </c>
      <c r="F45" s="371">
        <f>'3. Financials (Foreign)'!F45*1.327598</f>
        <v>29.074396199999999</v>
      </c>
      <c r="G45" s="296">
        <v>0</v>
      </c>
      <c r="H45" s="294">
        <v>0</v>
      </c>
      <c r="I45" s="294"/>
      <c r="J45" s="294"/>
      <c r="K45" s="294"/>
    </row>
    <row r="46" spans="1:11" hidden="1" outlineLevel="1" x14ac:dyDescent="0.2">
      <c r="A46" s="80" t="s">
        <v>348</v>
      </c>
      <c r="B46" s="294">
        <v>92.643000000000001</v>
      </c>
      <c r="C46" s="295">
        <v>98.709000000000003</v>
      </c>
      <c r="D46" s="371">
        <f>'3. Financials (Foreign)'!D46*1.327598</f>
        <v>55.095317000000001</v>
      </c>
      <c r="E46" s="371">
        <f>'3. Financials (Foreign)'!E46*1.327598</f>
        <v>55.095317000000001</v>
      </c>
      <c r="F46" s="371">
        <f>'3. Financials (Foreign)'!F46*1.327598</f>
        <v>55.095317000000001</v>
      </c>
      <c r="G46" s="296">
        <v>128.88720726461685</v>
      </c>
      <c r="H46" s="294">
        <v>448.19733857650471</v>
      </c>
      <c r="I46" s="294"/>
      <c r="J46" s="294"/>
      <c r="K46" s="294"/>
    </row>
    <row r="47" spans="1:11" hidden="1" outlineLevel="1" x14ac:dyDescent="0.2">
      <c r="A47" s="80" t="s">
        <v>392</v>
      </c>
      <c r="B47" s="294">
        <v>542.75699999999995</v>
      </c>
      <c r="C47" s="295">
        <v>762.07600000000002</v>
      </c>
      <c r="D47" s="371">
        <f>'3. Financials (Foreign)'!D47*1.327598</f>
        <v>654.50581399999999</v>
      </c>
      <c r="E47" s="371">
        <f>'3. Financials (Foreign)'!E47*1.327598</f>
        <v>681.05777399999999</v>
      </c>
      <c r="F47" s="371">
        <f>'3. Financials (Foreign)'!F47*1.327598</f>
        <v>718.23051800000007</v>
      </c>
      <c r="G47" s="296">
        <v>890.57670861876693</v>
      </c>
      <c r="H47" s="294">
        <v>1054.0509281569869</v>
      </c>
      <c r="I47" s="294"/>
      <c r="J47" s="294"/>
      <c r="K47" s="294"/>
    </row>
    <row r="48" spans="1:11" hidden="1" outlineLevel="1" x14ac:dyDescent="0.2">
      <c r="A48" s="80" t="s">
        <v>475</v>
      </c>
      <c r="B48" s="294">
        <v>1580.768</v>
      </c>
      <c r="C48" s="295">
        <v>1486.9469999999999</v>
      </c>
      <c r="D48" s="371">
        <f>'3. Financials (Foreign)'!D48*1.327598</f>
        <v>1905.1031300000002</v>
      </c>
      <c r="E48" s="371">
        <f>'3. Financials (Foreign)'!E48*1.327598</f>
        <v>1982.1038140000001</v>
      </c>
      <c r="F48" s="371">
        <f>'3. Financials (Foreign)'!F48*1.327598</f>
        <v>2093.622046</v>
      </c>
      <c r="G48" s="296">
        <v>2131.9459933089056</v>
      </c>
      <c r="H48" s="294">
        <v>1791.8563782279882</v>
      </c>
      <c r="I48" s="294"/>
      <c r="J48" s="294"/>
      <c r="K48" s="294"/>
    </row>
    <row r="49" spans="1:11" hidden="1" outlineLevel="1" x14ac:dyDescent="0.2">
      <c r="A49" s="80" t="s">
        <v>393</v>
      </c>
      <c r="B49" s="294">
        <v>1001.595</v>
      </c>
      <c r="C49" s="295">
        <v>980.55200000000002</v>
      </c>
      <c r="D49" s="371">
        <f>'3. Financials (Foreign)'!D49*1.327598</f>
        <v>1206.786582</v>
      </c>
      <c r="E49" s="371">
        <f>'3. Financials (Foreign)'!E49*1.327598</f>
        <v>1255.907708</v>
      </c>
      <c r="F49" s="371">
        <f>'3. Financials (Foreign)'!F49*1.327598</f>
        <v>1326.2704020000001</v>
      </c>
      <c r="G49" s="296">
        <v>1229.439488078169</v>
      </c>
      <c r="H49" s="294">
        <v>1183.5444095328053</v>
      </c>
      <c r="I49" s="294"/>
      <c r="J49" s="294"/>
      <c r="K49" s="294"/>
    </row>
    <row r="50" spans="1:11" ht="15" collapsed="1" x14ac:dyDescent="0.25">
      <c r="A50" s="15" t="s">
        <v>59</v>
      </c>
      <c r="B50" s="16"/>
      <c r="C50" s="16"/>
      <c r="D50" s="373"/>
      <c r="E50" s="373"/>
      <c r="F50" s="380"/>
      <c r="G50" s="246"/>
      <c r="H50" s="16"/>
      <c r="I50" s="16"/>
      <c r="J50" s="16"/>
      <c r="K50" s="16"/>
    </row>
    <row r="51" spans="1:11" x14ac:dyDescent="0.2">
      <c r="A51" s="20" t="s">
        <v>120</v>
      </c>
      <c r="B51" s="297">
        <f>(B12-B30)/B10</f>
        <v>-1.6975178481479267E-2</v>
      </c>
      <c r="C51" s="298">
        <f t="shared" ref="C51:F51" si="7">(C12-C30)/C10</f>
        <v>-5.7979910068602855E-2</v>
      </c>
      <c r="D51" s="376">
        <f t="shared" si="7"/>
        <v>7.3995771670190289E-3</v>
      </c>
      <c r="E51" s="376">
        <f t="shared" si="7"/>
        <v>4.6024285154719936E-3</v>
      </c>
      <c r="F51" s="391">
        <f t="shared" si="7"/>
        <v>-6.2517238209064997E-3</v>
      </c>
      <c r="G51" s="299">
        <f>(G12-G30)/G10</f>
        <v>-3.0513365848724008E-2</v>
      </c>
      <c r="H51" s="297">
        <f>(H12-H30)/H10</f>
        <v>1.222785392079857E-3</v>
      </c>
      <c r="I51" s="297" t="e">
        <f>(I12-I30)/I10</f>
        <v>#DIV/0!</v>
      </c>
      <c r="J51" s="297" t="e">
        <f t="shared" ref="J51:K51" si="8">(J12-J30)/J10</f>
        <v>#DIV/0!</v>
      </c>
      <c r="K51" s="297" t="e">
        <f t="shared" si="8"/>
        <v>#DIV/0!</v>
      </c>
    </row>
    <row r="52" spans="1:11" ht="11.25" customHeight="1" outlineLevel="1" x14ac:dyDescent="0.2">
      <c r="A52" s="17" t="s">
        <v>127</v>
      </c>
      <c r="B52" s="300">
        <f>(B12-B30)/AVERAGE(B10:C10)</f>
        <v>-1.7117439193652401E-2</v>
      </c>
      <c r="C52" s="301">
        <f>(C12-C30)/AVERAGE(C10:G10)</f>
        <v>-2.5914256649955617E-2</v>
      </c>
      <c r="D52" s="377">
        <f t="shared" ref="D52:J52" si="9">(D12-D30)/AVERAGE(D10:E10)</f>
        <v>7.1167141114274104E-3</v>
      </c>
      <c r="E52" s="377">
        <f t="shared" si="9"/>
        <v>4.4573000142254255E-3</v>
      </c>
      <c r="F52" s="392">
        <f t="shared" si="9"/>
        <v>-6.1519073492774115E-3</v>
      </c>
      <c r="G52" s="302">
        <f t="shared" si="9"/>
        <v>-3.0139486708709213E-2</v>
      </c>
      <c r="H52" s="300">
        <f t="shared" si="9"/>
        <v>1.222785392079857E-3</v>
      </c>
      <c r="I52" s="300" t="e">
        <f t="shared" si="9"/>
        <v>#DIV/0!</v>
      </c>
      <c r="J52" s="300" t="e">
        <f t="shared" si="9"/>
        <v>#DIV/0!</v>
      </c>
      <c r="K52" s="300"/>
    </row>
    <row r="53" spans="1:11" ht="11.25" customHeight="1" outlineLevel="1" x14ac:dyDescent="0.2">
      <c r="A53" s="17" t="s">
        <v>123</v>
      </c>
      <c r="B53" s="291">
        <f>(B12-B30)/(AVERAGE(B13:C13))*-1</f>
        <v>-5.8206533519120605</v>
      </c>
      <c r="C53" s="292">
        <f>(C12-C30)/(AVERAGE(C13:G13))*-1</f>
        <v>-10.00116158154718</v>
      </c>
      <c r="D53" s="374">
        <f t="shared" ref="D53:F53" si="10">(D12-D30)/(AVERAGE(D13:E13))*-1</f>
        <v>2.5000000000000009</v>
      </c>
      <c r="E53" s="374">
        <f t="shared" si="10"/>
        <v>1.5986394557823131</v>
      </c>
      <c r="F53" s="390">
        <f t="shared" si="10"/>
        <v>-2.2576735091564886</v>
      </c>
      <c r="G53" s="293">
        <f>(G12-G30)/(AVERAGE(G13:H13))*-1</f>
        <v>-8.6029716571539208</v>
      </c>
      <c r="H53" s="291">
        <f>(H12-H30)/(AVERAGE(H13:I13))*-1</f>
        <v>0.56040397810500509</v>
      </c>
      <c r="I53" s="291" t="e">
        <f t="shared" ref="I53:J53" si="11">(I12-I30)/(AVERAGE(I13:J13))*-1</f>
        <v>#DIV/0!</v>
      </c>
      <c r="J53" s="291" t="e">
        <f t="shared" si="11"/>
        <v>#DIV/0!</v>
      </c>
      <c r="K53" s="291"/>
    </row>
    <row r="54" spans="1:11" x14ac:dyDescent="0.2">
      <c r="A54" s="20" t="s">
        <v>126</v>
      </c>
      <c r="B54" s="297">
        <f>B12/B10</f>
        <v>7.1286032904274732E-4</v>
      </c>
      <c r="C54" s="298">
        <f>C12/C10</f>
        <v>2.5378263401690006E-3</v>
      </c>
      <c r="D54" s="376">
        <f t="shared" ref="D54:F54" si="12">D12/D10</f>
        <v>2.4312896405919663E-2</v>
      </c>
      <c r="E54" s="376">
        <f t="shared" si="12"/>
        <v>2.1053662358010185E-2</v>
      </c>
      <c r="F54" s="391">
        <f t="shared" si="12"/>
        <v>1.0205019766479728E-2</v>
      </c>
      <c r="G54" s="299">
        <f>G12/G10</f>
        <v>7.3978865827174526E-3</v>
      </c>
      <c r="H54" s="297">
        <f>H12/H10</f>
        <v>2.176117263588306E-2</v>
      </c>
      <c r="I54" s="297" t="e">
        <f>I12/I10</f>
        <v>#DIV/0!</v>
      </c>
      <c r="J54" s="297" t="e">
        <f t="shared" ref="J54:K54" si="13">J12/J10</f>
        <v>#DIV/0!</v>
      </c>
      <c r="K54" s="297" t="e">
        <f t="shared" si="13"/>
        <v>#DIV/0!</v>
      </c>
    </row>
    <row r="55" spans="1:11" x14ac:dyDescent="0.2">
      <c r="A55" s="20" t="s">
        <v>58</v>
      </c>
      <c r="B55" s="294">
        <f>B12/B13*-1</f>
        <v>0.13711050126793364</v>
      </c>
      <c r="C55" s="295">
        <f t="shared" ref="C55:K55" si="14">C12/C13*-1</f>
        <v>3.9389965792474273</v>
      </c>
      <c r="D55" s="371">
        <f t="shared" si="14"/>
        <v>8.2142857142857153</v>
      </c>
      <c r="E55" s="371">
        <f t="shared" si="14"/>
        <v>7.6785714285714288</v>
      </c>
      <c r="F55" s="375">
        <f t="shared" si="14"/>
        <v>3.6038961038961039</v>
      </c>
      <c r="G55" s="296">
        <f t="shared" si="14"/>
        <v>2.8220387920785366</v>
      </c>
      <c r="H55" s="294">
        <f t="shared" si="14"/>
        <v>4.9865854598720221</v>
      </c>
      <c r="I55" s="294" t="e">
        <f t="shared" si="14"/>
        <v>#DIV/0!</v>
      </c>
      <c r="J55" s="294" t="e">
        <f t="shared" si="14"/>
        <v>#DIV/0!</v>
      </c>
      <c r="K55" s="294" t="e">
        <f t="shared" si="14"/>
        <v>#DIV/0!</v>
      </c>
    </row>
    <row r="56" spans="1:11" x14ac:dyDescent="0.2">
      <c r="A56" s="20" t="s">
        <v>57</v>
      </c>
      <c r="B56" s="294">
        <f>B37/B12</f>
        <v>139.3577400557383</v>
      </c>
      <c r="C56" s="295">
        <f>C37/C12</f>
        <v>38.68888406426413</v>
      </c>
      <c r="D56" s="371">
        <f t="shared" ref="D56:F56" si="15">D37/D12</f>
        <v>1.5652173913043477</v>
      </c>
      <c r="E56" s="371">
        <f t="shared" si="15"/>
        <v>2.2604651162790694</v>
      </c>
      <c r="F56" s="375">
        <f t="shared" si="15"/>
        <v>4.8288288288288284</v>
      </c>
      <c r="G56" s="296">
        <f>G37/G12</f>
        <v>6.8219023086737751</v>
      </c>
      <c r="H56" s="294">
        <f>H37/H12</f>
        <v>2.2877197322243004</v>
      </c>
      <c r="I56" s="294" t="e">
        <f>I37/I12</f>
        <v>#DIV/0!</v>
      </c>
      <c r="J56" s="294" t="e">
        <f t="shared" ref="J56:K56" si="16">J37/J12</f>
        <v>#DIV/0!</v>
      </c>
      <c r="K56" s="294" t="e">
        <f t="shared" si="16"/>
        <v>#DIV/0!</v>
      </c>
    </row>
    <row r="57" spans="1:11" ht="11.25" customHeight="1" x14ac:dyDescent="0.2">
      <c r="A57" s="17" t="s">
        <v>56</v>
      </c>
      <c r="B57" s="291">
        <f>(B37-B32)/B12</f>
        <v>25.150240689130939</v>
      </c>
      <c r="C57" s="292">
        <f>(C37-C32)/C12</f>
        <v>15.367925893761811</v>
      </c>
      <c r="D57" s="374">
        <f t="shared" ref="D57:F57" si="17">(D37-D32)/D12</f>
        <v>-0.26086956521739135</v>
      </c>
      <c r="E57" s="374">
        <f t="shared" si="17"/>
        <v>-6.9767441860465323E-2</v>
      </c>
      <c r="F57" s="390">
        <f t="shared" si="17"/>
        <v>0.25225225225225201</v>
      </c>
      <c r="G57" s="293">
        <f>(G37-G32)/G12</f>
        <v>0.72128602036640244</v>
      </c>
      <c r="H57" s="291">
        <f>(H37-H32)/H12</f>
        <v>1.1167808166231195</v>
      </c>
      <c r="I57" s="291" t="e">
        <f>(I37-I32)/I12</f>
        <v>#DIV/0!</v>
      </c>
      <c r="J57" s="291" t="e">
        <f t="shared" ref="J57:K57" si="18">(J37-J32)/J12</f>
        <v>#DIV/0!</v>
      </c>
      <c r="K57" s="291" t="e">
        <f t="shared" si="18"/>
        <v>#DIV/0!</v>
      </c>
    </row>
    <row r="58" spans="1:11" x14ac:dyDescent="0.2">
      <c r="A58" s="20" t="s">
        <v>55</v>
      </c>
      <c r="B58" s="294">
        <f>B38/B12</f>
        <v>146.74841651887488</v>
      </c>
      <c r="C58" s="295">
        <f>C38/C12</f>
        <v>41.071428571428704</v>
      </c>
      <c r="D58" s="371">
        <f t="shared" ref="D58:F58" si="19">D38/D12</f>
        <v>1.5652173913043477</v>
      </c>
      <c r="E58" s="371">
        <f t="shared" si="19"/>
        <v>2.2604651162790694</v>
      </c>
      <c r="F58" s="375">
        <f t="shared" si="19"/>
        <v>4.8288288288288284</v>
      </c>
      <c r="G58" s="296">
        <f>G38/G12</f>
        <v>6.8219023086737751</v>
      </c>
      <c r="H58" s="294">
        <f>H38/H12</f>
        <v>2.2877197322243004</v>
      </c>
      <c r="I58" s="294" t="e">
        <f>I38/I12</f>
        <v>#DIV/0!</v>
      </c>
      <c r="J58" s="294" t="e">
        <f t="shared" ref="J58:K58" si="20">J38/J12</f>
        <v>#DIV/0!</v>
      </c>
      <c r="K58" s="294" t="e">
        <f t="shared" si="20"/>
        <v>#DIV/0!</v>
      </c>
    </row>
    <row r="59" spans="1:11" ht="11.25" customHeight="1" x14ac:dyDescent="0.2">
      <c r="A59" s="17" t="s">
        <v>54</v>
      </c>
      <c r="B59" s="291">
        <f>(B38-B32)/B12</f>
        <v>32.540917152267497</v>
      </c>
      <c r="C59" s="292">
        <f>(C38-C32)/C12</f>
        <v>17.750470400926389</v>
      </c>
      <c r="D59" s="374">
        <f t="shared" ref="D59:F59" si="21">(D38-D32)/D12</f>
        <v>-0.26086956521739135</v>
      </c>
      <c r="E59" s="374">
        <f t="shared" si="21"/>
        <v>-6.9767441860465323E-2</v>
      </c>
      <c r="F59" s="390">
        <f t="shared" si="21"/>
        <v>0.25225225225225201</v>
      </c>
      <c r="G59" s="293">
        <f>(G38-G32)/G12</f>
        <v>0.72128602036640244</v>
      </c>
      <c r="H59" s="291">
        <f>(H38-H32)/H12</f>
        <v>1.1167808166231195</v>
      </c>
      <c r="I59" s="291" t="e">
        <f>(I38-I32)/I12</f>
        <v>#DIV/0!</v>
      </c>
      <c r="J59" s="291" t="e">
        <f t="shared" ref="J59:K59" si="22">(J38-J32)/J12</f>
        <v>#DIV/0!</v>
      </c>
      <c r="K59" s="291" t="e">
        <f t="shared" si="22"/>
        <v>#DIV/0!</v>
      </c>
    </row>
    <row r="60" spans="1:11" ht="11.25" hidden="1" customHeight="1" outlineLevel="1" x14ac:dyDescent="0.2">
      <c r="A60" s="17" t="s">
        <v>394</v>
      </c>
      <c r="B60" s="291">
        <f>(B32+B47+B49)/(B35+B48)</f>
        <v>1.1311800535107119</v>
      </c>
      <c r="C60" s="292">
        <f t="shared" ref="C60:K60" si="23">(C32+C47+C49)/(C35+C48)</f>
        <v>1.2775617102156578</v>
      </c>
      <c r="D60" s="374">
        <f t="shared" si="23"/>
        <v>1.2696864111498256</v>
      </c>
      <c r="E60" s="374">
        <f t="shared" si="23"/>
        <v>1.3127930341594107</v>
      </c>
      <c r="F60" s="390">
        <f t="shared" si="23"/>
        <v>1.2986683576410907</v>
      </c>
      <c r="G60" s="293">
        <f t="shared" si="23"/>
        <v>1.177336265143379</v>
      </c>
      <c r="H60" s="291">
        <f t="shared" si="23"/>
        <v>1.3092262474709209</v>
      </c>
      <c r="I60" s="291" t="e">
        <f t="shared" si="23"/>
        <v>#DIV/0!</v>
      </c>
      <c r="J60" s="291" t="e">
        <f t="shared" si="23"/>
        <v>#DIV/0!</v>
      </c>
      <c r="K60" s="291" t="e">
        <f t="shared" si="23"/>
        <v>#DIV/0!</v>
      </c>
    </row>
    <row r="61" spans="1:11" ht="11.25" hidden="1" customHeight="1" outlineLevel="1" x14ac:dyDescent="0.2">
      <c r="A61" s="17" t="s">
        <v>476</v>
      </c>
      <c r="B61" s="291">
        <f>(B32+B47+B49)/(B38+B48)</f>
        <v>0.92367767539018808</v>
      </c>
      <c r="C61" s="292">
        <f t="shared" ref="C61:K61" si="24">(C32+C47+C49)/(C38+C48)</f>
        <v>1.0050645616002556</v>
      </c>
      <c r="D61" s="374">
        <f t="shared" si="24"/>
        <v>1.0150417827298048</v>
      </c>
      <c r="E61" s="374">
        <f t="shared" si="24"/>
        <v>0.99039919151086409</v>
      </c>
      <c r="F61" s="390">
        <f t="shared" si="24"/>
        <v>0.96923805016564124</v>
      </c>
      <c r="G61" s="293">
        <f t="shared" si="24"/>
        <v>0.96828295092968519</v>
      </c>
      <c r="H61" s="291">
        <f>(H32+H47+H49)/(H38+H48)</f>
        <v>1.0291587580491686</v>
      </c>
      <c r="I61" s="291" t="e">
        <f t="shared" si="24"/>
        <v>#DIV/0!</v>
      </c>
      <c r="J61" s="291" t="e">
        <f t="shared" si="24"/>
        <v>#DIV/0!</v>
      </c>
      <c r="K61" s="291" t="e">
        <f t="shared" si="24"/>
        <v>#DIV/0!</v>
      </c>
    </row>
    <row r="62" spans="1:11" ht="11.25" hidden="1" customHeight="1" outlineLevel="1" x14ac:dyDescent="0.2">
      <c r="A62" s="17" t="s">
        <v>396</v>
      </c>
      <c r="B62" s="291">
        <f>((B32+B47+B49)*0.75)/(B35+B48)</f>
        <v>0.84838504013303395</v>
      </c>
      <c r="C62" s="292">
        <f t="shared" ref="C62:K62" si="25">((C32+C47+C49)*0.75)/(C35+C48)</f>
        <v>0.95817128266174334</v>
      </c>
      <c r="D62" s="374">
        <f t="shared" si="25"/>
        <v>0.95226480836236915</v>
      </c>
      <c r="E62" s="374">
        <f t="shared" si="25"/>
        <v>0.98459477561955799</v>
      </c>
      <c r="F62" s="390">
        <f t="shared" si="25"/>
        <v>0.97400126823081812</v>
      </c>
      <c r="G62" s="293">
        <f t="shared" si="25"/>
        <v>0.88300219885753417</v>
      </c>
      <c r="H62" s="291">
        <f t="shared" si="25"/>
        <v>0.98191968560319065</v>
      </c>
      <c r="I62" s="291" t="e">
        <f t="shared" si="25"/>
        <v>#DIV/0!</v>
      </c>
      <c r="J62" s="291" t="e">
        <f t="shared" si="25"/>
        <v>#DIV/0!</v>
      </c>
      <c r="K62" s="291" t="e">
        <f t="shared" si="25"/>
        <v>#DIV/0!</v>
      </c>
    </row>
    <row r="63" spans="1:11" ht="11.25" hidden="1" customHeight="1" outlineLevel="1" x14ac:dyDescent="0.2">
      <c r="A63" s="17" t="s">
        <v>477</v>
      </c>
      <c r="B63" s="291">
        <f>((B32+B47+B49)*0.75)/(B36+B48)</f>
        <v>0.7682153451393402</v>
      </c>
      <c r="C63" s="292">
        <f t="shared" ref="C63:K63" si="26">((C32+C47+C49)*0.75)/(C36+C48)</f>
        <v>0.81842867659532414</v>
      </c>
      <c r="D63" s="374">
        <f t="shared" si="26"/>
        <v>0.95226480836236915</v>
      </c>
      <c r="E63" s="374">
        <f t="shared" si="26"/>
        <v>0.98459477561955799</v>
      </c>
      <c r="F63" s="390">
        <f t="shared" si="26"/>
        <v>0.97400126823081812</v>
      </c>
      <c r="G63" s="293">
        <f t="shared" si="26"/>
        <v>0.79219911962310585</v>
      </c>
      <c r="H63" s="291">
        <f t="shared" si="26"/>
        <v>0.84272300469483574</v>
      </c>
      <c r="I63" s="291" t="e">
        <f t="shared" si="26"/>
        <v>#DIV/0!</v>
      </c>
      <c r="J63" s="291" t="e">
        <f t="shared" si="26"/>
        <v>#DIV/0!</v>
      </c>
      <c r="K63" s="291" t="e">
        <f t="shared" si="26"/>
        <v>#DIV/0!</v>
      </c>
    </row>
    <row r="64" spans="1:11" collapsed="1" x14ac:dyDescent="0.2">
      <c r="A64" s="20" t="s">
        <v>53</v>
      </c>
      <c r="B64" s="303">
        <f>B17/B38</f>
        <v>-0.11221547747299798</v>
      </c>
      <c r="C64" s="304">
        <f>C17/C38</f>
        <v>-5.7373683978679382E-2</v>
      </c>
      <c r="D64" s="378">
        <f t="shared" ref="D64:F64" si="27">D17/D38</f>
        <v>0.50019444444444439</v>
      </c>
      <c r="E64" s="378">
        <f t="shared" si="27"/>
        <v>0.37030864197530866</v>
      </c>
      <c r="F64" s="393">
        <f t="shared" si="27"/>
        <v>0.16026119402985073</v>
      </c>
      <c r="G64" s="305">
        <f>G17/G38</f>
        <v>-6.2655491839435362E-2</v>
      </c>
      <c r="H64" s="303">
        <f>H17/H38</f>
        <v>1.8859987024572235E-2</v>
      </c>
      <c r="I64" s="303" t="e">
        <f>I17/I38</f>
        <v>#DIV/0!</v>
      </c>
      <c r="J64" s="303" t="e">
        <f t="shared" ref="J64:K64" si="28">J17/J38</f>
        <v>#DIV/0!</v>
      </c>
      <c r="K64" s="303" t="e">
        <f t="shared" si="28"/>
        <v>#DIV/0!</v>
      </c>
    </row>
    <row r="65" spans="1:11" ht="11.25" customHeight="1" outlineLevel="1" x14ac:dyDescent="0.2">
      <c r="A65" s="17" t="s">
        <v>124</v>
      </c>
      <c r="B65" s="300">
        <f>B17/AVERAGE(B38:C38)</f>
        <v>-0.11335951186885269</v>
      </c>
      <c r="C65" s="301">
        <f>C17/AVERAGE(C38:G38)</f>
        <v>-5.1607425823341824E-2</v>
      </c>
      <c r="D65" s="377">
        <f t="shared" ref="D65:J65" si="29">D17/AVERAGE(D38:E38)</f>
        <v>0.42569739952718683</v>
      </c>
      <c r="E65" s="377">
        <f t="shared" si="29"/>
        <v>0.35219178082191782</v>
      </c>
      <c r="F65" s="392">
        <f t="shared" si="29"/>
        <v>0.15579233073443916</v>
      </c>
      <c r="G65" s="302">
        <f t="shared" si="29"/>
        <v>-6.2315360213108163E-2</v>
      </c>
      <c r="H65" s="300">
        <f t="shared" si="29"/>
        <v>1.8859987024572235E-2</v>
      </c>
      <c r="I65" s="300" t="e">
        <f t="shared" si="29"/>
        <v>#DIV/0!</v>
      </c>
      <c r="J65" s="300" t="e">
        <f t="shared" si="29"/>
        <v>#DIV/0!</v>
      </c>
      <c r="K65" s="300"/>
    </row>
    <row r="66" spans="1:11" x14ac:dyDescent="0.2">
      <c r="A66" s="20" t="s">
        <v>52</v>
      </c>
      <c r="B66" s="303">
        <f>B22/B38</f>
        <v>-4.6074348774895718E-2</v>
      </c>
      <c r="C66" s="304">
        <f>C22/C38</f>
        <v>0.10807101008766132</v>
      </c>
      <c r="D66" s="378">
        <f t="shared" ref="D66:F66" si="30">D22/D38</f>
        <v>0.12277777777777778</v>
      </c>
      <c r="E66" s="378">
        <f t="shared" si="30"/>
        <v>8.6831275720164622E-2</v>
      </c>
      <c r="F66" s="393">
        <f t="shared" si="30"/>
        <v>9.6828358208955242E-3</v>
      </c>
      <c r="G66" s="305">
        <f>G22/G38</f>
        <v>0.37914777238641378</v>
      </c>
      <c r="H66" s="303">
        <f>H22/H38</f>
        <v>0.71490552266645035</v>
      </c>
      <c r="I66" s="303" t="e">
        <f>I22/I38</f>
        <v>#DIV/0!</v>
      </c>
      <c r="J66" s="303" t="e">
        <f t="shared" ref="J66:K66" si="31">J22/J38</f>
        <v>#DIV/0!</v>
      </c>
      <c r="K66" s="303" t="e">
        <f t="shared" si="31"/>
        <v>#DIV/0!</v>
      </c>
    </row>
    <row r="67" spans="1:11" ht="11.25" customHeight="1" outlineLevel="1" x14ac:dyDescent="0.2">
      <c r="A67" s="17" t="s">
        <v>122</v>
      </c>
      <c r="B67" s="300">
        <f t="shared" ref="B67" si="32">B22/(AVERAGE(B38:C38))</f>
        <v>-4.654407577648309E-2</v>
      </c>
      <c r="C67" s="301">
        <f>C22/(AVERAGE(C38:G38))</f>
        <v>9.7209491355395167E-2</v>
      </c>
      <c r="D67" s="377">
        <f t="shared" ref="D67:F67" si="33">D22/(AVERAGE(D38:E38))</f>
        <v>0.10449172576832154</v>
      </c>
      <c r="E67" s="377">
        <f t="shared" si="33"/>
        <v>8.2583170254403149E-2</v>
      </c>
      <c r="F67" s="392">
        <f t="shared" si="33"/>
        <v>9.4128311584602952E-3</v>
      </c>
      <c r="G67" s="302">
        <f>G22/(AVERAGE(G38:H38))</f>
        <v>0.3770895306480741</v>
      </c>
      <c r="H67" s="300">
        <f>H22/(AVERAGE(H38:I38))</f>
        <v>0.71490552266645035</v>
      </c>
      <c r="I67" s="300" t="e">
        <f t="shared" ref="I67:J67" si="34">I22/(AVERAGE(I38:J38))</f>
        <v>#DIV/0!</v>
      </c>
      <c r="J67" s="300" t="e">
        <f t="shared" si="34"/>
        <v>#DIV/0!</v>
      </c>
      <c r="K67" s="300"/>
    </row>
    <row r="68" spans="1:11" x14ac:dyDescent="0.2">
      <c r="A68" s="20" t="s">
        <v>116</v>
      </c>
      <c r="B68" s="303">
        <f>-B26/B22</f>
        <v>0</v>
      </c>
      <c r="C68" s="304">
        <f t="shared" ref="C68:K68" si="35">-C26/C22</f>
        <v>0</v>
      </c>
      <c r="D68" s="378">
        <f t="shared" si="35"/>
        <v>0</v>
      </c>
      <c r="E68" s="378">
        <f t="shared" si="35"/>
        <v>0</v>
      </c>
      <c r="F68" s="393">
        <f t="shared" si="35"/>
        <v>0</v>
      </c>
      <c r="G68" s="305">
        <f t="shared" si="35"/>
        <v>0</v>
      </c>
      <c r="H68" s="303">
        <f t="shared" si="35"/>
        <v>0</v>
      </c>
      <c r="I68" s="303" t="e">
        <f t="shared" si="35"/>
        <v>#DIV/0!</v>
      </c>
      <c r="J68" s="303" t="e">
        <f t="shared" si="35"/>
        <v>#DIV/0!</v>
      </c>
      <c r="K68" s="303" t="e">
        <f t="shared" si="35"/>
        <v>#DIV/0!</v>
      </c>
    </row>
    <row r="69" spans="1:11" x14ac:dyDescent="0.2">
      <c r="A69" s="20" t="s">
        <v>51</v>
      </c>
      <c r="B69" s="303">
        <f>B38/B40</f>
        <v>0.4085194260009225</v>
      </c>
      <c r="C69" s="304">
        <f>C38/C40</f>
        <v>0.3642643820326405</v>
      </c>
      <c r="D69" s="378">
        <f t="shared" ref="D69:F69" si="36">D38/D40</f>
        <v>0.27169811320754716</v>
      </c>
      <c r="E69" s="378">
        <f t="shared" si="36"/>
        <v>0.35422740524781338</v>
      </c>
      <c r="F69" s="393">
        <f t="shared" si="36"/>
        <v>0.37144837144837145</v>
      </c>
      <c r="G69" s="305">
        <f>G38/G40</f>
        <v>0.38089266320418941</v>
      </c>
      <c r="H69" s="303">
        <f>H38/H40</f>
        <v>0.33092509949200088</v>
      </c>
      <c r="I69" s="303" t="e">
        <f>I38/I40</f>
        <v>#DIV/0!</v>
      </c>
      <c r="J69" s="303" t="e">
        <f t="shared" ref="J69:K69" si="37">J38/J40</f>
        <v>#DIV/0!</v>
      </c>
      <c r="K69" s="303" t="e">
        <f t="shared" si="37"/>
        <v>#DIV/0!</v>
      </c>
    </row>
    <row r="70" spans="1:11" ht="15" x14ac:dyDescent="0.25">
      <c r="A70" s="15" t="s">
        <v>50</v>
      </c>
      <c r="B70" s="16"/>
      <c r="C70" s="16"/>
      <c r="D70" s="379"/>
      <c r="E70" s="373"/>
      <c r="F70" s="380"/>
      <c r="G70" s="369"/>
      <c r="H70" s="16"/>
      <c r="I70" s="16"/>
      <c r="J70" s="16"/>
      <c r="K70" s="16"/>
    </row>
    <row r="71" spans="1:11" x14ac:dyDescent="0.2">
      <c r="A71" s="20" t="s">
        <v>49</v>
      </c>
      <c r="B71" s="303">
        <f>B43/B34</f>
        <v>0.5964144687094165</v>
      </c>
      <c r="C71" s="304">
        <f t="shared" ref="C71:K71" si="38">C43/C34</f>
        <v>0.58571196630506406</v>
      </c>
      <c r="D71" s="381" t="s">
        <v>97</v>
      </c>
      <c r="E71" s="382" t="s">
        <v>97</v>
      </c>
      <c r="F71" s="383" t="s">
        <v>97</v>
      </c>
      <c r="G71" s="305">
        <f t="shared" si="38"/>
        <v>0.59981340128086036</v>
      </c>
      <c r="H71" s="303">
        <f t="shared" si="38"/>
        <v>0.56076033992551111</v>
      </c>
      <c r="I71" s="303" t="e">
        <f t="shared" si="38"/>
        <v>#DIV/0!</v>
      </c>
      <c r="J71" s="303" t="e">
        <f t="shared" si="38"/>
        <v>#DIV/0!</v>
      </c>
      <c r="K71" s="303" t="e">
        <f t="shared" si="38"/>
        <v>#DIV/0!</v>
      </c>
    </row>
    <row r="72" spans="1:11" x14ac:dyDescent="0.2">
      <c r="A72" s="20" t="s">
        <v>48</v>
      </c>
      <c r="B72" s="294">
        <f>B43/B44</f>
        <v>1.0706885132494466</v>
      </c>
      <c r="C72" s="295">
        <f t="shared" ref="C72:K72" si="39">C43/C44</f>
        <v>1.1554268780603085</v>
      </c>
      <c r="D72" s="371">
        <f t="shared" si="39"/>
        <v>1.2341982701264136</v>
      </c>
      <c r="E72" s="384">
        <f t="shared" si="39"/>
        <v>1.2271390203350812</v>
      </c>
      <c r="F72" s="385">
        <f t="shared" si="39"/>
        <v>1.2168543407192154</v>
      </c>
      <c r="G72" s="296">
        <f t="shared" si="39"/>
        <v>1.1351980287694452</v>
      </c>
      <c r="H72" s="294">
        <f t="shared" si="39"/>
        <v>1.2157640043714308</v>
      </c>
      <c r="I72" s="294" t="e">
        <f t="shared" si="39"/>
        <v>#DIV/0!</v>
      </c>
      <c r="J72" s="294" t="e">
        <f t="shared" si="39"/>
        <v>#DIV/0!</v>
      </c>
      <c r="K72" s="294" t="e">
        <f t="shared" si="39"/>
        <v>#DIV/0!</v>
      </c>
    </row>
    <row r="73" spans="1:11" ht="15" x14ac:dyDescent="0.25">
      <c r="A73" s="15" t="s">
        <v>47</v>
      </c>
      <c r="B73" s="15"/>
      <c r="C73" s="15"/>
      <c r="D73" s="386"/>
      <c r="E73" s="386"/>
      <c r="F73" s="387"/>
      <c r="G73" s="370"/>
      <c r="H73" s="15"/>
      <c r="I73" s="15"/>
      <c r="J73" s="15"/>
      <c r="K73" s="15"/>
    </row>
    <row r="74" spans="1:11" x14ac:dyDescent="0.2">
      <c r="A74" s="20" t="s">
        <v>46</v>
      </c>
      <c r="B74" s="303">
        <f>B10/C10-1</f>
        <v>1.6902680108440871E-2</v>
      </c>
      <c r="C74" s="304"/>
      <c r="D74" s="378">
        <f t="shared" ref="D74:F74" si="40">D10/E10-1</f>
        <v>-7.3638856247551954E-2</v>
      </c>
      <c r="E74" s="378">
        <f t="shared" si="40"/>
        <v>-6.1138181483865073E-2</v>
      </c>
      <c r="F74" s="393">
        <f t="shared" si="40"/>
        <v>-3.143063478520125E-2</v>
      </c>
      <c r="G74" s="305">
        <f>G10/H10-1</f>
        <v>-2.4209290284783025E-2</v>
      </c>
      <c r="H74" s="303"/>
      <c r="I74" s="303" t="e">
        <f t="shared" ref="I74:J74" si="41">I10/J10-1</f>
        <v>#DIV/0!</v>
      </c>
      <c r="J74" s="303" t="e">
        <f t="shared" si="41"/>
        <v>#DIV/0!</v>
      </c>
      <c r="K74" s="303"/>
    </row>
    <row r="75" spans="1:11" x14ac:dyDescent="0.2">
      <c r="A75" s="20" t="s">
        <v>474</v>
      </c>
      <c r="B75" s="303">
        <f>B11/B10</f>
        <v>1.5106245447546122E-2</v>
      </c>
      <c r="C75" s="304">
        <f>C11/C10</f>
        <v>1.8139636281623361E-2</v>
      </c>
      <c r="D75" s="378">
        <f t="shared" ref="D75:F75" si="42">D11/D10</f>
        <v>7.1141649048625799E-2</v>
      </c>
      <c r="E75" s="378">
        <f t="shared" si="42"/>
        <v>6.9526047786917358E-2</v>
      </c>
      <c r="F75" s="393">
        <f t="shared" si="42"/>
        <v>6.3528546474211633E-2</v>
      </c>
      <c r="G75" s="305">
        <f>G11/G10</f>
        <v>1.8060966179410713E-2</v>
      </c>
      <c r="H75" s="303">
        <f>H11/H10</f>
        <v>2.6246148936741091E-2</v>
      </c>
      <c r="I75" s="303" t="e">
        <f t="shared" ref="I75:K75" si="43">I11/I10</f>
        <v>#DIV/0!</v>
      </c>
      <c r="J75" s="303" t="e">
        <f t="shared" si="43"/>
        <v>#DIV/0!</v>
      </c>
      <c r="K75" s="303" t="e">
        <f t="shared" si="43"/>
        <v>#DIV/0!</v>
      </c>
    </row>
    <row r="76" spans="1:11" x14ac:dyDescent="0.2">
      <c r="A76" s="20" t="s">
        <v>113</v>
      </c>
      <c r="B76" s="303">
        <f>B14/B10</f>
        <v>-1.5051340572950427E-2</v>
      </c>
      <c r="C76" s="304">
        <f t="shared" ref="C76:K76" si="44">C14/C10</f>
        <v>-3.6963042100404846E-2</v>
      </c>
      <c r="D76" s="378">
        <f t="shared" si="44"/>
        <v>2.1353065539112047E-3</v>
      </c>
      <c r="E76" s="378">
        <f t="shared" si="44"/>
        <v>3.5742264003133569E-4</v>
      </c>
      <c r="F76" s="393">
        <f t="shared" si="44"/>
        <v>-7.9893352946584541E-3</v>
      </c>
      <c r="G76" s="305">
        <f t="shared" si="44"/>
        <v>-2.4138991006560664E-2</v>
      </c>
      <c r="H76" s="303">
        <f t="shared" si="44"/>
        <v>-7.4500920958085739E-3</v>
      </c>
      <c r="I76" s="303" t="e">
        <f t="shared" si="44"/>
        <v>#DIV/0!</v>
      </c>
      <c r="J76" s="303" t="e">
        <f t="shared" si="44"/>
        <v>#DIV/0!</v>
      </c>
      <c r="K76" s="303" t="e">
        <f t="shared" si="44"/>
        <v>#DIV/0!</v>
      </c>
    </row>
    <row r="77" spans="1:11" x14ac:dyDescent="0.2">
      <c r="A77" s="20" t="s">
        <v>114</v>
      </c>
      <c r="B77" s="303">
        <f>B10/B34</f>
        <v>1.4899615241992821</v>
      </c>
      <c r="C77" s="304">
        <f t="shared" ref="C77:K77" si="45">C10/C34</f>
        <v>1.4304419307753178</v>
      </c>
      <c r="D77" s="381" t="s">
        <v>97</v>
      </c>
      <c r="E77" s="381" t="s">
        <v>97</v>
      </c>
      <c r="F77" s="394" t="s">
        <v>97</v>
      </c>
      <c r="G77" s="305">
        <f t="shared" si="45"/>
        <v>2.9447679853657935</v>
      </c>
      <c r="H77" s="303">
        <f t="shared" si="45"/>
        <v>3.0176356283195451</v>
      </c>
      <c r="I77" s="303" t="e">
        <f t="shared" si="45"/>
        <v>#DIV/0!</v>
      </c>
      <c r="J77" s="303" t="e">
        <f t="shared" si="45"/>
        <v>#DIV/0!</v>
      </c>
      <c r="K77" s="303" t="e">
        <f t="shared" si="45"/>
        <v>#DIV/0!</v>
      </c>
    </row>
    <row r="78" spans="1:11" x14ac:dyDescent="0.2">
      <c r="A78" s="20" t="s">
        <v>115</v>
      </c>
      <c r="B78" s="294">
        <f>B34/B39</f>
        <v>4.4311790953297416</v>
      </c>
      <c r="C78" s="295">
        <f t="shared" ref="C78:K78" si="46">C34/C39</f>
        <v>3.8429808637849603</v>
      </c>
      <c r="D78" s="381" t="s">
        <v>97</v>
      </c>
      <c r="E78" s="381" t="s">
        <v>97</v>
      </c>
      <c r="F78" s="394" t="s">
        <v>97</v>
      </c>
      <c r="G78" s="296">
        <f t="shared" si="46"/>
        <v>4.1397337391798974</v>
      </c>
      <c r="H78" s="294">
        <f t="shared" si="46"/>
        <v>3.2923277217811013</v>
      </c>
      <c r="I78" s="294" t="e">
        <f t="shared" si="46"/>
        <v>#DIV/0!</v>
      </c>
      <c r="J78" s="294" t="e">
        <f t="shared" si="46"/>
        <v>#DIV/0!</v>
      </c>
      <c r="K78" s="294" t="e">
        <f t="shared" si="46"/>
        <v>#DIV/0!</v>
      </c>
    </row>
    <row r="79" spans="1:11" x14ac:dyDescent="0.2">
      <c r="A79" s="20" t="s">
        <v>45</v>
      </c>
      <c r="B79" s="303">
        <f>B14/B39</f>
        <v>-9.9373260547610032E-2</v>
      </c>
      <c r="C79" s="304">
        <f>C14/C39</f>
        <v>-0.20319179224576417</v>
      </c>
      <c r="D79" s="381">
        <f t="shared" ref="D79:F79" si="47">D14/D39</f>
        <v>2.093264248704663E-2</v>
      </c>
      <c r="E79" s="381">
        <f t="shared" si="47"/>
        <v>4.1196388261851014E-3</v>
      </c>
      <c r="F79" s="394">
        <f t="shared" si="47"/>
        <v>-9.5810363836824702E-2</v>
      </c>
      <c r="G79" s="305">
        <f>G14/G39</f>
        <v>-0.29426770675704134</v>
      </c>
      <c r="H79" s="303">
        <f>H14/H39</f>
        <v>-7.4017003454505639E-2</v>
      </c>
      <c r="I79" s="303" t="e">
        <f>I14/I39</f>
        <v>#DIV/0!</v>
      </c>
      <c r="J79" s="303" t="e">
        <f t="shared" ref="J79:K79" si="48">J14/J39</f>
        <v>#DIV/0!</v>
      </c>
      <c r="K79" s="303" t="e">
        <f t="shared" si="48"/>
        <v>#DIV/0!</v>
      </c>
    </row>
    <row r="80" spans="1:11" x14ac:dyDescent="0.2">
      <c r="A80" s="20" t="s">
        <v>44</v>
      </c>
      <c r="B80" s="303">
        <f>B14/B34</f>
        <v>-2.2425918341315715E-2</v>
      </c>
      <c r="C80" s="304">
        <f>C14/C34</f>
        <v>-5.2873485309432464E-2</v>
      </c>
      <c r="D80" s="381" t="s">
        <v>97</v>
      </c>
      <c r="E80" s="381" t="s">
        <v>97</v>
      </c>
      <c r="F80" s="394" t="s">
        <v>97</v>
      </c>
      <c r="G80" s="305">
        <f>G14/G34</f>
        <v>-7.1083727915152647E-2</v>
      </c>
      <c r="H80" s="303">
        <f>H14/H34</f>
        <v>-2.2481663342573784E-2</v>
      </c>
      <c r="I80" s="303" t="e">
        <f>I14/I34</f>
        <v>#DIV/0!</v>
      </c>
      <c r="J80" s="303" t="e">
        <f t="shared" ref="J80:K80" si="49">J14/J34</f>
        <v>#DIV/0!</v>
      </c>
      <c r="K80" s="303" t="e">
        <f t="shared" si="49"/>
        <v>#DIV/0!</v>
      </c>
    </row>
    <row r="81" spans="1:11" x14ac:dyDescent="0.2">
      <c r="A81" s="20" t="s">
        <v>349</v>
      </c>
      <c r="B81" s="303">
        <f t="shared" ref="B81:F81" si="50">B14/(B34-B45-B46)</f>
        <v>-2.2999294320702954E-2</v>
      </c>
      <c r="C81" s="304">
        <f t="shared" si="50"/>
        <v>-5.4281128436415339E-2</v>
      </c>
      <c r="D81" s="381" t="s">
        <v>97</v>
      </c>
      <c r="E81" s="381" t="s">
        <v>97</v>
      </c>
      <c r="F81" s="394" t="s">
        <v>97</v>
      </c>
      <c r="G81" s="305">
        <f>G14/(G34-G45-G46)</f>
        <v>-7.2940614263942355E-2</v>
      </c>
      <c r="H81" s="303">
        <f t="shared" ref="H81:K81" si="51">H14/(H34-H45-H46)</f>
        <v>-2.4665045089950165E-2</v>
      </c>
      <c r="I81" s="303" t="e">
        <f t="shared" si="51"/>
        <v>#DIV/0!</v>
      </c>
      <c r="J81" s="303" t="e">
        <f t="shared" si="51"/>
        <v>#DIV/0!</v>
      </c>
      <c r="K81" s="303" t="e">
        <f t="shared" si="51"/>
        <v>#DIV/0!</v>
      </c>
    </row>
    <row r="82" spans="1:11" x14ac:dyDescent="0.2">
      <c r="A82" s="20" t="s">
        <v>43</v>
      </c>
      <c r="B82" s="303">
        <f>B37/B34</f>
        <v>0.14801665831562211</v>
      </c>
      <c r="C82" s="304">
        <f>C37/C34</f>
        <v>0.14044889801039728</v>
      </c>
      <c r="D82" s="381" t="s">
        <v>97</v>
      </c>
      <c r="E82" s="381" t="s">
        <v>97</v>
      </c>
      <c r="F82" s="394" t="s">
        <v>97</v>
      </c>
      <c r="G82" s="305">
        <f>G37/G34</f>
        <v>0.14861554816258216</v>
      </c>
      <c r="H82" s="303">
        <f>H37/H34</f>
        <v>0.15022835477453614</v>
      </c>
      <c r="I82" s="303" t="e">
        <f>I37/I34</f>
        <v>#DIV/0!</v>
      </c>
      <c r="J82" s="303" t="e">
        <f t="shared" ref="J82:K82" si="52">J37/J34</f>
        <v>#DIV/0!</v>
      </c>
      <c r="K82" s="303" t="e">
        <f t="shared" si="52"/>
        <v>#DIV/0!</v>
      </c>
    </row>
    <row r="85" spans="1:11" x14ac:dyDescent="0.2">
      <c r="A85" s="243" t="s">
        <v>399</v>
      </c>
    </row>
    <row r="86" spans="1:11" x14ac:dyDescent="0.2">
      <c r="A86" s="243" t="s">
        <v>398</v>
      </c>
    </row>
  </sheetData>
  <mergeCells count="3">
    <mergeCell ref="D9:F9"/>
    <mergeCell ref="D16:F16"/>
    <mergeCell ref="D31:F31"/>
  </mergeCells>
  <pageMargins left="0.7" right="0.7" top="0.75" bottom="0.75" header="0.3" footer="0.3"/>
  <pageSetup paperSize="9" scale="65" orientation="portrait" r:id="rId1"/>
  <colBreaks count="1" manualBreakCount="1">
    <brk id="11" max="1048575"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O86"/>
  <sheetViews>
    <sheetView view="pageBreakPreview" topLeftCell="A16" zoomScaleNormal="100" zoomScaleSheetLayoutView="100" workbookViewId="0">
      <selection activeCell="D32" sqref="D32:E49"/>
    </sheetView>
  </sheetViews>
  <sheetFormatPr defaultRowHeight="14.25" outlineLevelRow="1" outlineLevelCol="1" x14ac:dyDescent="0.2"/>
  <cols>
    <col min="1" max="1" width="41" style="20" customWidth="1"/>
    <col min="2" max="3" width="11" style="20" customWidth="1" outlineLevel="1"/>
    <col min="4" max="8" width="11" style="20" customWidth="1"/>
    <col min="9" max="9" width="9.140625" style="20"/>
    <col min="10" max="10" width="20" style="20" customWidth="1"/>
    <col min="11" max="15" width="10.85546875" style="20" customWidth="1"/>
    <col min="16" max="16384" width="9.140625" style="20"/>
  </cols>
  <sheetData>
    <row r="1" spans="1:15" ht="10.5" customHeight="1" x14ac:dyDescent="0.2">
      <c r="A1" s="80" t="s">
        <v>388</v>
      </c>
      <c r="B1" s="242" t="str">
        <f>Cover!A9</f>
        <v>Y</v>
      </c>
      <c r="C1" s="242" t="str">
        <f>Cover!B9</f>
        <v>Y</v>
      </c>
      <c r="D1" s="245" t="str">
        <f>Cover!C9</f>
        <v>Y</v>
      </c>
      <c r="E1" s="242" t="str">
        <f>Cover!D9</f>
        <v>Y</v>
      </c>
      <c r="F1" s="242">
        <f>Cover!E9</f>
        <v>0</v>
      </c>
      <c r="G1" s="242">
        <f>Cover!F9</f>
        <v>0</v>
      </c>
      <c r="H1" s="242">
        <f>Cover!G9</f>
        <v>0</v>
      </c>
    </row>
    <row r="2" spans="1:15" ht="10.5" customHeight="1" x14ac:dyDescent="0.2">
      <c r="A2" s="80" t="s">
        <v>389</v>
      </c>
      <c r="B2" s="242" t="str">
        <f>Cover!A10</f>
        <v>PwC</v>
      </c>
      <c r="C2" s="242" t="str">
        <f>Cover!B10</f>
        <v>PwC</v>
      </c>
      <c r="D2" s="245" t="str">
        <f>Cover!C10</f>
        <v>PwC</v>
      </c>
      <c r="E2" s="242" t="str">
        <f>Cover!D10</f>
        <v>PwC</v>
      </c>
      <c r="F2" s="242" t="str">
        <f>Cover!E10</f>
        <v>Auditor</v>
      </c>
      <c r="G2" s="242" t="str">
        <f>Cover!F10</f>
        <v>Auditor</v>
      </c>
      <c r="H2" s="242" t="str">
        <f>Cover!G10</f>
        <v>Auditor</v>
      </c>
    </row>
    <row r="3" spans="1:15" ht="10.5" customHeight="1" x14ac:dyDescent="0.2">
      <c r="A3" s="80" t="s">
        <v>390</v>
      </c>
      <c r="B3" s="242" t="str">
        <f>Cover!A11</f>
        <v>Opinion</v>
      </c>
      <c r="C3" s="242" t="str">
        <f>Cover!B11</f>
        <v>Opinion</v>
      </c>
      <c r="D3" s="245" t="str">
        <f>Cover!C11</f>
        <v>Unqualified</v>
      </c>
      <c r="E3" s="242" t="str">
        <f>Cover!D11</f>
        <v>Unqualified</v>
      </c>
      <c r="F3" s="242" t="str">
        <f>Cover!E11</f>
        <v>Opinion</v>
      </c>
      <c r="G3" s="242" t="str">
        <f>Cover!F11</f>
        <v>Opinion</v>
      </c>
      <c r="H3" s="242" t="str">
        <f>Cover!G11</f>
        <v>Opinion</v>
      </c>
    </row>
    <row r="4" spans="1:15" ht="6.75" customHeight="1" outlineLevel="1" x14ac:dyDescent="0.2">
      <c r="A4" s="80"/>
      <c r="B4" s="242"/>
      <c r="C4" s="242"/>
      <c r="D4" s="245"/>
      <c r="E4" s="242"/>
      <c r="F4" s="242"/>
      <c r="G4" s="242"/>
      <c r="H4" s="242"/>
    </row>
    <row r="5" spans="1:15" ht="10.5" customHeight="1" outlineLevel="1" x14ac:dyDescent="0.2">
      <c r="A5" s="80" t="str">
        <f>Cover!A16</f>
        <v>Average exchange rate (EUR/USD)</v>
      </c>
      <c r="B5" s="242">
        <f>Cover!A17</f>
        <v>0.72943000000000002</v>
      </c>
      <c r="C5" s="242">
        <f>Cover!B17</f>
        <v>0.76166500000000004</v>
      </c>
      <c r="D5" s="245">
        <f>Cover!C17</f>
        <v>0.75324000000000002</v>
      </c>
      <c r="E5" s="242">
        <f>Cover!D17</f>
        <v>0.77815499999999993</v>
      </c>
      <c r="F5" s="242">
        <f>Cover!E17</f>
        <v>0.71886499999999998</v>
      </c>
      <c r="G5" s="242">
        <f>Cover!F17</f>
        <v>0.75475999999999999</v>
      </c>
      <c r="H5" s="242">
        <f>Cover!G17</f>
        <v>0.719055</v>
      </c>
    </row>
    <row r="6" spans="1:15" ht="10.5" customHeight="1" outlineLevel="1" x14ac:dyDescent="0.2">
      <c r="A6" s="80" t="s">
        <v>401</v>
      </c>
      <c r="B6" s="249">
        <f>B5/C5-1</f>
        <v>-4.2321755627474089E-2</v>
      </c>
      <c r="C6" s="242"/>
      <c r="D6" s="250">
        <f>D5/E5-1</f>
        <v>-3.201804267787256E-2</v>
      </c>
      <c r="E6" s="249">
        <f t="shared" ref="E6:G6" si="0">E5/F5-1</f>
        <v>8.2477238424460753E-2</v>
      </c>
      <c r="F6" s="249">
        <f t="shared" si="0"/>
        <v>-4.7558164184641538E-2</v>
      </c>
      <c r="G6" s="249">
        <f t="shared" si="0"/>
        <v>4.965545055663334E-2</v>
      </c>
      <c r="H6" s="242"/>
    </row>
    <row r="7" spans="1:15" ht="6.75" customHeight="1" x14ac:dyDescent="0.2">
      <c r="A7" s="80"/>
      <c r="B7" s="242"/>
      <c r="C7" s="242"/>
      <c r="D7" s="245"/>
      <c r="E7" s="242"/>
      <c r="F7" s="242"/>
      <c r="G7" s="242"/>
      <c r="H7" s="242"/>
    </row>
    <row r="8" spans="1:15" x14ac:dyDescent="0.2">
      <c r="A8" s="20" t="s">
        <v>400</v>
      </c>
      <c r="B8" s="287" t="str">
        <f>Cover!A8</f>
        <v>H1 2014</v>
      </c>
      <c r="C8" s="287" t="str">
        <f>Cover!B8</f>
        <v>H1 2013</v>
      </c>
      <c r="D8" s="288" t="str">
        <f>Cover!C8</f>
        <v>12/31/2013</v>
      </c>
      <c r="E8" s="287" t="str">
        <f>Cover!D8</f>
        <v>12/31/2012</v>
      </c>
      <c r="F8" s="287">
        <f>Cover!E8</f>
        <v>0</v>
      </c>
      <c r="G8" s="287">
        <f>Cover!F8</f>
        <v>0</v>
      </c>
      <c r="H8" s="287">
        <f>Cover!G8</f>
        <v>0</v>
      </c>
    </row>
    <row r="9" spans="1:15" ht="15" x14ac:dyDescent="0.25">
      <c r="A9" s="15" t="s">
        <v>78</v>
      </c>
      <c r="B9" s="16"/>
      <c r="C9" s="16"/>
      <c r="D9" s="246"/>
      <c r="E9" s="16"/>
      <c r="F9" s="16"/>
      <c r="G9" s="16"/>
      <c r="H9" s="16"/>
      <c r="J9" s="15" t="s">
        <v>103</v>
      </c>
      <c r="K9" s="15"/>
      <c r="L9" s="15"/>
      <c r="M9" s="75"/>
      <c r="N9" s="15"/>
      <c r="O9" s="15"/>
    </row>
    <row r="10" spans="1:15" x14ac:dyDescent="0.2">
      <c r="A10" s="20" t="s">
        <v>128</v>
      </c>
      <c r="B10" s="294">
        <f>'3. Financials (Foreign)'!B10/Cover!A17</f>
        <v>7590.6516046776251</v>
      </c>
      <c r="C10" s="295">
        <f>'3. Financials (Foreign)'!C10/Cover!B17</f>
        <v>7148.5718787130818</v>
      </c>
      <c r="D10" s="296">
        <f>'3. Financials (Foreign)'!G10/Cover!C17</f>
        <v>14908.878976156337</v>
      </c>
      <c r="E10" s="294">
        <f>'3. Financials (Foreign)'!H10/Cover!D17</f>
        <v>15278.767083678702</v>
      </c>
      <c r="F10" s="294">
        <f>'3. Financials (Foreign)'!I10/Cover!E17</f>
        <v>0</v>
      </c>
      <c r="G10" s="294">
        <f>'3. Financials (Foreign)'!J10/Cover!F17</f>
        <v>0</v>
      </c>
      <c r="H10" s="294">
        <f>'3. Financials (Foreign)'!K10/Cover!G17</f>
        <v>0</v>
      </c>
      <c r="J10" s="20" t="s">
        <v>85</v>
      </c>
      <c r="K10" s="23"/>
      <c r="L10" s="23"/>
      <c r="M10" s="23"/>
      <c r="N10" s="23"/>
      <c r="O10" s="23"/>
    </row>
    <row r="11" spans="1:15" x14ac:dyDescent="0.2">
      <c r="A11" s="20" t="s">
        <v>77</v>
      </c>
      <c r="B11" s="294">
        <f>'3. Financials (Foreign)'!B11/Cover!A17</f>
        <v>114.66624624707005</v>
      </c>
      <c r="C11" s="295">
        <f>'3. Financials (Foreign)'!C11/Cover!B17</f>
        <v>129.67249381289628</v>
      </c>
      <c r="D11" s="296">
        <f>'3. Financials (Foreign)'!G11/Cover!C17</f>
        <v>269.26875896128701</v>
      </c>
      <c r="E11" s="294">
        <f>'3. Financials (Foreign)'!H11/Cover!D17</f>
        <v>401.00879644800852</v>
      </c>
      <c r="F11" s="294">
        <f>'3. Financials (Foreign)'!I11/Cover!E17</f>
        <v>0</v>
      </c>
      <c r="G11" s="294">
        <f>'3. Financials (Foreign)'!J11/Cover!F17</f>
        <v>0</v>
      </c>
      <c r="H11" s="294">
        <f>'3. Financials (Foreign)'!K11/Cover!G17</f>
        <v>0</v>
      </c>
      <c r="J11" s="76" t="s">
        <v>104</v>
      </c>
      <c r="K11" s="23"/>
      <c r="L11" s="23"/>
      <c r="M11" s="23"/>
      <c r="N11" s="23"/>
      <c r="O11" s="23"/>
    </row>
    <row r="12" spans="1:15" x14ac:dyDescent="0.2">
      <c r="A12" s="20" t="s">
        <v>76</v>
      </c>
      <c r="B12" s="294">
        <f>'3. Financials (Foreign)'!B12/Cover!A17</f>
        <v>5.4110744005593494</v>
      </c>
      <c r="C12" s="295">
        <f>'3. Financials (Foreign)'!C12/Cover!B17</f>
        <v>18.141834008389459</v>
      </c>
      <c r="D12" s="296">
        <f>'3. Financials (Foreign)'!G12/Cover!C17</f>
        <v>110.29419574106528</v>
      </c>
      <c r="E12" s="294">
        <f>'3. Financials (Foreign)'!H12/Cover!D17</f>
        <v>332.48388817137982</v>
      </c>
      <c r="F12" s="294">
        <f>'3. Financials (Foreign)'!I12/Cover!E17</f>
        <v>0</v>
      </c>
      <c r="G12" s="294">
        <f>'3. Financials (Foreign)'!J12/Cover!F17</f>
        <v>0</v>
      </c>
      <c r="H12" s="294">
        <f>'3. Financials (Foreign)'!K12/Cover!G17</f>
        <v>0</v>
      </c>
      <c r="J12" s="76" t="s">
        <v>105</v>
      </c>
      <c r="K12" s="23"/>
      <c r="L12" s="23"/>
      <c r="M12" s="23"/>
      <c r="N12" s="23"/>
      <c r="O12" s="23"/>
    </row>
    <row r="13" spans="1:15" x14ac:dyDescent="0.2">
      <c r="A13" s="20" t="s">
        <v>402</v>
      </c>
      <c r="B13" s="294">
        <f>'3. Financials (Foreign)'!B13/Cover!A17</f>
        <v>-39.465061760552764</v>
      </c>
      <c r="C13" s="295">
        <f>'3. Financials (Foreign)'!C13/Cover!B17</f>
        <v>-4.6056993560160899</v>
      </c>
      <c r="D13" s="296">
        <f>'3. Financials (Foreign)'!G13/Cover!C17</f>
        <v>-39.083160745579086</v>
      </c>
      <c r="E13" s="294">
        <f>'3. Financials (Foreign)'!H13/Cover!D17</f>
        <v>-66.675662303782687</v>
      </c>
      <c r="F13" s="294">
        <f>'3. Financials (Foreign)'!I13/Cover!E17</f>
        <v>0</v>
      </c>
      <c r="G13" s="294">
        <f>'3. Financials (Foreign)'!J13/Cover!F17</f>
        <v>0</v>
      </c>
      <c r="H13" s="294">
        <f>'3. Financials (Foreign)'!K13/Cover!G17</f>
        <v>0</v>
      </c>
      <c r="J13" s="76" t="s">
        <v>106</v>
      </c>
      <c r="K13" s="23"/>
      <c r="L13" s="23"/>
      <c r="M13" s="23"/>
      <c r="N13" s="23"/>
      <c r="O13" s="23"/>
    </row>
    <row r="14" spans="1:15" x14ac:dyDescent="0.2">
      <c r="A14" s="20" t="s">
        <v>0</v>
      </c>
      <c r="B14" s="294">
        <f>'3. Financials (Foreign)'!B14/Cover!A17</f>
        <v>-114.24948247261561</v>
      </c>
      <c r="C14" s="295">
        <f>'3. Financials (Foreign)'!C14/Cover!B17</f>
        <v>-264.23296331064182</v>
      </c>
      <c r="D14" s="296">
        <f>'3. Financials (Foreign)'!G14/Cover!C17</f>
        <v>-359.88529552333915</v>
      </c>
      <c r="E14" s="294">
        <f>'3. Financials (Foreign)'!H14/Cover!D17</f>
        <v>-113.82822188381492</v>
      </c>
      <c r="F14" s="294">
        <f>'3. Financials (Foreign)'!I14/Cover!E17</f>
        <v>0</v>
      </c>
      <c r="G14" s="294">
        <f>'3. Financials (Foreign)'!J14/Cover!F17</f>
        <v>0</v>
      </c>
      <c r="H14" s="294">
        <f>'3. Financials (Foreign)'!K14/Cover!G17</f>
        <v>0</v>
      </c>
      <c r="J14" s="76" t="s">
        <v>107</v>
      </c>
      <c r="K14" s="23"/>
      <c r="L14" s="23"/>
      <c r="M14" s="23"/>
      <c r="N14" s="23"/>
      <c r="O14" s="23"/>
    </row>
    <row r="15" spans="1:15" x14ac:dyDescent="0.2">
      <c r="A15" s="20" t="s">
        <v>125</v>
      </c>
      <c r="B15" s="294">
        <f>'3. Financials (Foreign)'!B15/Cover!A17</f>
        <v>16.039921582605594</v>
      </c>
      <c r="C15" s="295">
        <f>'3. Financials (Foreign)'!C15/Cover!B17</f>
        <v>18.959778905424301</v>
      </c>
      <c r="D15" s="296">
        <f>'3. Financials (Foreign)'!G15/Cover!C17</f>
        <v>-323.87021400881525</v>
      </c>
      <c r="E15" s="294">
        <f>'3. Financials (Foreign)'!H15/Cover!D17</f>
        <v>-106.2487550680777</v>
      </c>
      <c r="F15" s="294">
        <f>'3. Financials (Foreign)'!I15/Cover!E17</f>
        <v>0</v>
      </c>
      <c r="G15" s="294">
        <f>'3. Financials (Foreign)'!J15/Cover!F17</f>
        <v>0</v>
      </c>
      <c r="H15" s="294">
        <f>'3. Financials (Foreign)'!K15/Cover!G17</f>
        <v>0</v>
      </c>
      <c r="J15" s="76" t="s">
        <v>108</v>
      </c>
      <c r="K15" s="23"/>
      <c r="L15" s="23"/>
      <c r="M15" s="23"/>
      <c r="N15" s="23"/>
      <c r="O15" s="23"/>
    </row>
    <row r="16" spans="1:15" ht="15" x14ac:dyDescent="0.25">
      <c r="A16" s="15" t="s">
        <v>75</v>
      </c>
      <c r="B16" s="16"/>
      <c r="C16" s="16"/>
      <c r="D16" s="246"/>
      <c r="E16" s="16"/>
      <c r="F16" s="16"/>
      <c r="G16" s="16"/>
      <c r="H16" s="16"/>
      <c r="J16" s="20" t="s">
        <v>109</v>
      </c>
      <c r="K16" s="23"/>
      <c r="L16" s="23"/>
      <c r="M16" s="23"/>
      <c r="N16" s="23"/>
      <c r="O16" s="23"/>
    </row>
    <row r="17" spans="1:15" x14ac:dyDescent="0.2">
      <c r="A17" s="20" t="s">
        <v>34</v>
      </c>
      <c r="B17" s="294">
        <f>'3. Financials (Foreign)'!B17/Cover!A$17</f>
        <v>-89.106562658514179</v>
      </c>
      <c r="C17" s="295">
        <f>'3. Financials (Foreign)'!C17/Cover!B$17</f>
        <v>-42.74976531677315</v>
      </c>
      <c r="D17" s="296">
        <f>'3. Financials (Foreign)'!G17/Cover!C$17</f>
        <v>-47.143008868355359</v>
      </c>
      <c r="E17" s="294">
        <f>'3. Financials (Foreign)'!H17/Cover!D$17</f>
        <v>14.345471017984863</v>
      </c>
      <c r="F17" s="294">
        <f>'3. Financials (Foreign)'!I17/Cover!E$17</f>
        <v>0</v>
      </c>
      <c r="G17" s="294">
        <f>'3. Financials (Foreign)'!J17/Cover!F$17</f>
        <v>0</v>
      </c>
      <c r="H17" s="294">
        <f>'3. Financials (Foreign)'!K17/Cover!G$17</f>
        <v>0</v>
      </c>
      <c r="J17" s="20" t="s">
        <v>110</v>
      </c>
      <c r="K17" s="23"/>
      <c r="L17" s="23"/>
      <c r="M17" s="23"/>
      <c r="N17" s="23"/>
      <c r="O17" s="23"/>
    </row>
    <row r="18" spans="1:15" ht="11.25" customHeight="1" x14ac:dyDescent="0.2">
      <c r="A18" s="17" t="s">
        <v>74</v>
      </c>
      <c r="B18" s="291">
        <f>'3. Financials (Foreign)'!B18/Cover!A$17</f>
        <v>107.1329668371194</v>
      </c>
      <c r="C18" s="292">
        <f>'3. Financials (Foreign)'!C18/Cover!B$17</f>
        <v>206.21795671325322</v>
      </c>
      <c r="D18" s="293">
        <f>'3. Financials (Foreign)'!G18/Cover!C$17</f>
        <v>476.96617280016989</v>
      </c>
      <c r="E18" s="291">
        <f>'3. Financials (Foreign)'!H18/Cover!D$17</f>
        <v>674.82313934884439</v>
      </c>
      <c r="F18" s="291">
        <f>'3. Financials (Foreign)'!I18/Cover!E$17</f>
        <v>0</v>
      </c>
      <c r="G18" s="291">
        <f>'3. Financials (Foreign)'!J18/Cover!F$17</f>
        <v>0</v>
      </c>
      <c r="H18" s="291">
        <f>'3. Financials (Foreign)'!K18/Cover!G$17</f>
        <v>0</v>
      </c>
      <c r="J18" s="69" t="s">
        <v>111</v>
      </c>
      <c r="K18" s="77"/>
      <c r="L18" s="77"/>
      <c r="M18" s="77"/>
      <c r="N18" s="77"/>
      <c r="O18" s="77"/>
    </row>
    <row r="19" spans="1:15" x14ac:dyDescent="0.2">
      <c r="A19" s="20" t="s">
        <v>23</v>
      </c>
      <c r="B19" s="294">
        <f>'3. Financials (Foreign)'!B19/Cover!A$17</f>
        <v>18.026404178605212</v>
      </c>
      <c r="C19" s="295">
        <f>'3. Financials (Foreign)'!C19/Cover!B$17</f>
        <v>163.46819139648008</v>
      </c>
      <c r="D19" s="296">
        <f>'3. Financials (Foreign)'!G19/Cover!C$17</f>
        <v>429.82316393181452</v>
      </c>
      <c r="E19" s="294">
        <f>'3. Financials (Foreign)'!H19/Cover!D$17</f>
        <v>689.16861036682928</v>
      </c>
      <c r="F19" s="294">
        <f>'3. Financials (Foreign)'!I19/Cover!E$17</f>
        <v>0</v>
      </c>
      <c r="G19" s="294">
        <f>'3. Financials (Foreign)'!J19/Cover!F$17</f>
        <v>0</v>
      </c>
      <c r="H19" s="294">
        <f>'3. Financials (Foreign)'!K19/Cover!G$17</f>
        <v>0</v>
      </c>
    </row>
    <row r="20" spans="1:15" x14ac:dyDescent="0.2">
      <c r="A20" s="20" t="s">
        <v>73</v>
      </c>
      <c r="B20" s="294">
        <f>'3. Financials (Foreign)'!B20/Cover!A$17</f>
        <v>-54.612505655100556</v>
      </c>
      <c r="C20" s="295">
        <f>'3. Financials (Foreign)'!C20/Cover!B$17</f>
        <v>-82.943288716167856</v>
      </c>
      <c r="D20" s="296">
        <f>'3. Financials (Foreign)'!G20/Cover!C$17</f>
        <v>-144.54622696617281</v>
      </c>
      <c r="E20" s="294">
        <f>'3. Financials (Foreign)'!H20/Cover!D$17</f>
        <v>-145.3900572508048</v>
      </c>
      <c r="F20" s="294">
        <f>'3. Financials (Foreign)'!I20/Cover!E$17</f>
        <v>0</v>
      </c>
      <c r="G20" s="294">
        <f>'3. Financials (Foreign)'!J20/Cover!F$17</f>
        <v>0</v>
      </c>
      <c r="H20" s="294">
        <f>'3. Financials (Foreign)'!K20/Cover!G$17</f>
        <v>0</v>
      </c>
    </row>
    <row r="21" spans="1:15" ht="11.25" customHeight="1" x14ac:dyDescent="0.2">
      <c r="A21" s="17" t="s">
        <v>72</v>
      </c>
      <c r="B21" s="291">
        <f>'3. Financials (Foreign)'!B21/Cover!A$17</f>
        <v>0</v>
      </c>
      <c r="C21" s="292">
        <f>'3. Financials (Foreign)'!C21/Cover!B$17</f>
        <v>0</v>
      </c>
      <c r="D21" s="293">
        <f>'3. Financials (Foreign)'!G21/Cover!C$17</f>
        <v>0</v>
      </c>
      <c r="E21" s="291">
        <f>'3. Financials (Foreign)'!H21/Cover!D$17</f>
        <v>0</v>
      </c>
      <c r="F21" s="291">
        <f>'3. Financials (Foreign)'!I21/Cover!E$17</f>
        <v>0</v>
      </c>
      <c r="G21" s="291">
        <f>'3. Financials (Foreign)'!J21/Cover!F$17</f>
        <v>0</v>
      </c>
      <c r="H21" s="291">
        <f>'3. Financials (Foreign)'!K21/Cover!G$17</f>
        <v>0</v>
      </c>
    </row>
    <row r="22" spans="1:15" x14ac:dyDescent="0.2">
      <c r="A22" s="20" t="s">
        <v>71</v>
      </c>
      <c r="B22" s="294">
        <f>'3. Financials (Foreign)'!B22/Cover!A$17</f>
        <v>-36.586101476495344</v>
      </c>
      <c r="C22" s="295">
        <f>'3. Financials (Foreign)'!C22/Cover!B$17</f>
        <v>80.524902680312209</v>
      </c>
      <c r="D22" s="296">
        <f>'3. Financials (Foreign)'!G22/Cover!C$17</f>
        <v>285.27693696564177</v>
      </c>
      <c r="E22" s="294">
        <f>'3. Financials (Foreign)'!H22/Cover!D$17</f>
        <v>543.77855311602445</v>
      </c>
      <c r="F22" s="294">
        <f>'3. Financials (Foreign)'!I22/Cover!E$17</f>
        <v>0</v>
      </c>
      <c r="G22" s="294">
        <f>'3. Financials (Foreign)'!J22/Cover!F$17</f>
        <v>0</v>
      </c>
      <c r="H22" s="294">
        <f>'3. Financials (Foreign)'!K22/Cover!G$17</f>
        <v>0</v>
      </c>
    </row>
    <row r="23" spans="1:15" ht="11.25" customHeight="1" outlineLevel="1" x14ac:dyDescent="0.2">
      <c r="A23" s="17" t="s">
        <v>359</v>
      </c>
      <c r="B23" s="291">
        <f>'3. Financials (Foreign)'!B23/Cover!A$17</f>
        <v>-89.106562658514179</v>
      </c>
      <c r="C23" s="292">
        <f>'3. Financials (Foreign)'!C23/Cover!B$17</f>
        <v>-42.74976531677315</v>
      </c>
      <c r="D23" s="293">
        <f>'3. Financials (Foreign)'!G23/Cover!C$17</f>
        <v>-47.143008868355359</v>
      </c>
      <c r="E23" s="291">
        <f>'3. Financials (Foreign)'!H23/Cover!D$17</f>
        <v>14.345471017984863</v>
      </c>
      <c r="F23" s="291">
        <f>'3. Financials (Foreign)'!I23/Cover!E$17</f>
        <v>0</v>
      </c>
      <c r="G23" s="291">
        <f>'3. Financials (Foreign)'!J23/Cover!F$17</f>
        <v>0</v>
      </c>
      <c r="H23" s="291">
        <f>'3. Financials (Foreign)'!K23/Cover!G$17</f>
        <v>0</v>
      </c>
    </row>
    <row r="24" spans="1:15" x14ac:dyDescent="0.2">
      <c r="A24" s="20" t="s">
        <v>70</v>
      </c>
      <c r="B24" s="294">
        <f>'3. Financials (Foreign)'!B24/Cover!A$17</f>
        <v>0</v>
      </c>
      <c r="C24" s="295">
        <f>'3. Financials (Foreign)'!C24/Cover!B$17</f>
        <v>0</v>
      </c>
      <c r="D24" s="296">
        <f>'3. Financials (Foreign)'!G24/Cover!C$17</f>
        <v>0</v>
      </c>
      <c r="E24" s="294">
        <f>'3. Financials (Foreign)'!H24/Cover!D$17</f>
        <v>0</v>
      </c>
      <c r="F24" s="294">
        <f>'3. Financials (Foreign)'!I24/Cover!E$17</f>
        <v>0</v>
      </c>
      <c r="G24" s="294">
        <f>'3. Financials (Foreign)'!J24/Cover!F$17</f>
        <v>0</v>
      </c>
      <c r="H24" s="294">
        <f>'3. Financials (Foreign)'!K24/Cover!G$17</f>
        <v>0</v>
      </c>
    </row>
    <row r="25" spans="1:15" x14ac:dyDescent="0.2">
      <c r="A25" s="20" t="s">
        <v>112</v>
      </c>
      <c r="B25" s="294">
        <f>'3. Financials (Foreign)'!B25/Cover!A$17</f>
        <v>5.7469531003660395</v>
      </c>
      <c r="C25" s="295">
        <f>'3. Financials (Foreign)'!C25/Cover!B$17</f>
        <v>23.317337674699502</v>
      </c>
      <c r="D25" s="296">
        <f>'3. Financials (Foreign)'!G25/Cover!C$17</f>
        <v>25.609367532260631</v>
      </c>
      <c r="E25" s="294">
        <f>'3. Financials (Foreign)'!H25/Cover!D$17</f>
        <v>9.6497484434335057</v>
      </c>
      <c r="F25" s="294">
        <f>'3. Financials (Foreign)'!I25/Cover!E$17</f>
        <v>0</v>
      </c>
      <c r="G25" s="294">
        <f>'3. Financials (Foreign)'!J25/Cover!F$17</f>
        <v>0</v>
      </c>
      <c r="H25" s="294">
        <f>'3. Financials (Foreign)'!K25/Cover!G$17</f>
        <v>0</v>
      </c>
    </row>
    <row r="26" spans="1:15" x14ac:dyDescent="0.2">
      <c r="A26" s="20" t="s">
        <v>69</v>
      </c>
      <c r="B26" s="294">
        <f>'3. Financials (Foreign)'!B26/Cover!A$17</f>
        <v>0</v>
      </c>
      <c r="C26" s="295">
        <f>'3. Financials (Foreign)'!C26/Cover!B$17</f>
        <v>0</v>
      </c>
      <c r="D26" s="296">
        <f>'3. Financials (Foreign)'!G26/Cover!C$17</f>
        <v>0</v>
      </c>
      <c r="E26" s="294">
        <f>'3. Financials (Foreign)'!H26/Cover!D$17</f>
        <v>0</v>
      </c>
      <c r="F26" s="294">
        <f>'3. Financials (Foreign)'!I26/Cover!E$17</f>
        <v>0</v>
      </c>
      <c r="G26" s="294">
        <f>'3. Financials (Foreign)'!J26/Cover!F$17</f>
        <v>0</v>
      </c>
      <c r="H26" s="294">
        <f>'3. Financials (Foreign)'!K26/Cover!G$17</f>
        <v>0</v>
      </c>
    </row>
    <row r="27" spans="1:15" x14ac:dyDescent="0.2">
      <c r="A27" s="20" t="s">
        <v>68</v>
      </c>
      <c r="B27" s="294">
        <f>'3. Financials (Foreign)'!B27/Cover!A$17</f>
        <v>0</v>
      </c>
      <c r="C27" s="295">
        <f>'3. Financials (Foreign)'!C27/Cover!B$17</f>
        <v>0</v>
      </c>
      <c r="D27" s="296">
        <f>'3. Financials (Foreign)'!G27/Cover!C$17</f>
        <v>-7.8899155647602353</v>
      </c>
      <c r="E27" s="294">
        <f>'3. Financials (Foreign)'!H27/Cover!D$17</f>
        <v>0</v>
      </c>
      <c r="F27" s="294">
        <f>'3. Financials (Foreign)'!I27/Cover!E$17</f>
        <v>0</v>
      </c>
      <c r="G27" s="294">
        <f>'3. Financials (Foreign)'!J27/Cover!F$17</f>
        <v>0</v>
      </c>
      <c r="H27" s="294">
        <f>'3. Financials (Foreign)'!K27/Cover!G$17</f>
        <v>0</v>
      </c>
    </row>
    <row r="28" spans="1:15" x14ac:dyDescent="0.2">
      <c r="A28" s="20" t="s">
        <v>67</v>
      </c>
      <c r="B28" s="294">
        <f>'3. Financials (Foreign)'!B28/Cover!A$17</f>
        <v>-70.587993364682021</v>
      </c>
      <c r="C28" s="295">
        <f>'3. Financials (Foreign)'!C28/Cover!B$17</f>
        <v>-118.35255657014565</v>
      </c>
      <c r="D28" s="296">
        <f>'3. Financials (Foreign)'!G28/Cover!C$17</f>
        <v>-64.484095374648192</v>
      </c>
      <c r="E28" s="294">
        <f>'3. Financials (Foreign)'!H28/Cover!D$17</f>
        <v>-407.90716502496298</v>
      </c>
      <c r="F28" s="294">
        <f>'3. Financials (Foreign)'!I28/Cover!E$17</f>
        <v>0</v>
      </c>
      <c r="G28" s="294">
        <f>'3. Financials (Foreign)'!J28/Cover!F$17</f>
        <v>0</v>
      </c>
      <c r="H28" s="294">
        <f>'3. Financials (Foreign)'!K28/Cover!G$17</f>
        <v>0</v>
      </c>
    </row>
    <row r="29" spans="1:15" x14ac:dyDescent="0.2">
      <c r="A29" s="20" t="s">
        <v>102</v>
      </c>
      <c r="B29" s="294">
        <f>'3. Financials (Foreign)'!B29/Cover!A$17</f>
        <v>0</v>
      </c>
      <c r="C29" s="295">
        <f>'3. Financials (Foreign)'!C29/Cover!B$17</f>
        <v>0</v>
      </c>
      <c r="D29" s="296">
        <f>'3. Financials (Foreign)'!G29/Cover!C$17</f>
        <v>0</v>
      </c>
      <c r="E29" s="294">
        <f>'3. Financials (Foreign)'!H29/Cover!D$17</f>
        <v>0</v>
      </c>
      <c r="F29" s="294">
        <f>'3. Financials (Foreign)'!I29/Cover!E$17</f>
        <v>0</v>
      </c>
      <c r="G29" s="294">
        <f>'3. Financials (Foreign)'!J29/Cover!F$17</f>
        <v>0</v>
      </c>
      <c r="H29" s="294">
        <f>'3. Financials (Foreign)'!K29/Cover!G$17</f>
        <v>0</v>
      </c>
    </row>
    <row r="30" spans="1:15" outlineLevel="1" x14ac:dyDescent="0.2">
      <c r="A30" s="80" t="s">
        <v>121</v>
      </c>
      <c r="B30" s="294">
        <f>'3. Financials (Foreign)'!B30/Cover!A$17</f>
        <v>134.26374018068904</v>
      </c>
      <c r="C30" s="295">
        <f>'3. Financials (Foreign)'!C30/Cover!B$17</f>
        <v>432.61538865511739</v>
      </c>
      <c r="D30" s="296">
        <f>'3. Financials (Foreign)'!G30/Cover!C$17</f>
        <v>565.21427433487338</v>
      </c>
      <c r="E30" s="294">
        <f>'3. Financials (Foreign)'!H30/Cover!D$17</f>
        <v>313.80123497246694</v>
      </c>
      <c r="F30" s="294">
        <f>'3. Financials (Foreign)'!I30/Cover!E$17</f>
        <v>0</v>
      </c>
      <c r="G30" s="294">
        <f>'3. Financials (Foreign)'!J30/Cover!F$17</f>
        <v>0</v>
      </c>
      <c r="H30" s="294">
        <f>'3. Financials (Foreign)'!K30/Cover!G$17</f>
        <v>0</v>
      </c>
    </row>
    <row r="31" spans="1:15" ht="15" x14ac:dyDescent="0.25">
      <c r="A31" s="15" t="s">
        <v>66</v>
      </c>
      <c r="B31" s="16"/>
      <c r="C31" s="16"/>
      <c r="D31" s="246"/>
      <c r="E31" s="16"/>
      <c r="F31" s="16"/>
      <c r="G31" s="16"/>
      <c r="H31" s="16"/>
    </row>
    <row r="32" spans="1:15" x14ac:dyDescent="0.2">
      <c r="A32" s="20" t="s">
        <v>65</v>
      </c>
      <c r="B32" s="294">
        <f>'3. Financials (Foreign)'!B32/Cover!A$17</f>
        <v>617.98527617454727</v>
      </c>
      <c r="C32" s="295">
        <f>'3. Financials (Foreign)'!C32/Cover!B$17</f>
        <v>423.08495204584693</v>
      </c>
      <c r="D32" s="296">
        <f>'3. Financials (Foreign)'!G32/Cover!C$17</f>
        <v>672.86256704370453</v>
      </c>
      <c r="E32" s="294">
        <f>'3. Financials (Foreign)'!H32/Cover!D$17</f>
        <v>389.31832347025983</v>
      </c>
      <c r="F32" s="294">
        <f>'3. Financials (Foreign)'!I32/Cover!E$17</f>
        <v>0</v>
      </c>
      <c r="G32" s="294">
        <f>'3. Financials (Foreign)'!J32/Cover!F$17</f>
        <v>0</v>
      </c>
      <c r="H32" s="294">
        <f>'3. Financials (Foreign)'!K32/Cover!G$17</f>
        <v>0</v>
      </c>
    </row>
    <row r="33" spans="1:8" x14ac:dyDescent="0.2">
      <c r="A33" s="20" t="s">
        <v>384</v>
      </c>
      <c r="B33" s="294">
        <f>'3. Financials (Foreign)'!B33/Cover!A$17</f>
        <v>1582.1655265069985</v>
      </c>
      <c r="C33" s="295">
        <f>'3. Financials (Foreign)'!C33/Cover!B$17</f>
        <v>1665.2268385707628</v>
      </c>
      <c r="D33" s="296">
        <f>'3. Financials (Foreign)'!G33/Cover!C$17</f>
        <v>1616.2511284583929</v>
      </c>
      <c r="E33" s="294">
        <f>'3. Financials (Foreign)'!H33/Cover!D$17</f>
        <v>1656.1713283343295</v>
      </c>
      <c r="F33" s="294">
        <f>'3. Financials (Foreign)'!I33/Cover!E$17</f>
        <v>0</v>
      </c>
      <c r="G33" s="294">
        <f>'3. Financials (Foreign)'!J33/Cover!F$17</f>
        <v>0</v>
      </c>
      <c r="H33" s="294">
        <f>'3. Financials (Foreign)'!K33/Cover!G$17</f>
        <v>0</v>
      </c>
    </row>
    <row r="34" spans="1:8" x14ac:dyDescent="0.2">
      <c r="A34" s="20" t="s">
        <v>64</v>
      </c>
      <c r="B34" s="294">
        <f>'3. Financials (Foreign)'!B34/Cover!A$17</f>
        <v>5094.5286045268222</v>
      </c>
      <c r="C34" s="295">
        <f>'3. Financials (Foreign)'!C34/Cover!B$17</f>
        <v>4997.4568872141945</v>
      </c>
      <c r="D34" s="296">
        <f>'3. Financials (Foreign)'!G34/Cover!C$17</f>
        <v>5062.8365461207577</v>
      </c>
      <c r="E34" s="294">
        <f>'3. Financials (Foreign)'!H34/Cover!D$17</f>
        <v>5063.1583681914281</v>
      </c>
      <c r="F34" s="294">
        <f>'3. Financials (Foreign)'!I34/Cover!E$17</f>
        <v>0</v>
      </c>
      <c r="G34" s="294">
        <f>'3. Financials (Foreign)'!J34/Cover!F$17</f>
        <v>0</v>
      </c>
      <c r="H34" s="294">
        <f>'3. Financials (Foreign)'!K34/Cover!G$17</f>
        <v>0</v>
      </c>
    </row>
    <row r="35" spans="1:8" outlineLevel="1" x14ac:dyDescent="0.2">
      <c r="A35" s="80" t="s">
        <v>387</v>
      </c>
      <c r="B35" s="291">
        <f>'3. Financials (Foreign)'!B35/Cover!A$17</f>
        <v>250.86848635235734</v>
      </c>
      <c r="C35" s="292">
        <f>'3. Financials (Foreign)'!C35/Cover!B$17</f>
        <v>169.78199077022052</v>
      </c>
      <c r="D35" s="293">
        <f>'3. Financials (Foreign)'!G35/Cover!C$17</f>
        <v>240.25542987626784</v>
      </c>
      <c r="E35" s="291">
        <f>'3. Financials (Foreign)'!H35/Cover!D$17</f>
        <v>214.60634449434886</v>
      </c>
      <c r="F35" s="291">
        <f>'3. Financials (Foreign)'!I35/Cover!E$17</f>
        <v>0</v>
      </c>
      <c r="G35" s="291">
        <f>'3. Financials (Foreign)'!J35/Cover!F$17</f>
        <v>0</v>
      </c>
      <c r="H35" s="291">
        <f>'3. Financials (Foreign)'!K35/Cover!G$17</f>
        <v>0</v>
      </c>
    </row>
    <row r="36" spans="1:8" outlineLevel="1" x14ac:dyDescent="0.2">
      <c r="A36" s="80" t="s">
        <v>386</v>
      </c>
      <c r="B36" s="291">
        <f>'3. Financials (Foreign)'!B36/Cover!A$17</f>
        <v>503.20661338305246</v>
      </c>
      <c r="C36" s="292">
        <f>'3. Financials (Foreign)'!C36/Cover!B$17</f>
        <v>532.10532189348328</v>
      </c>
      <c r="D36" s="293">
        <f>'3. Financials (Foreign)'!G36/Cover!C$17</f>
        <v>512.16079868302268</v>
      </c>
      <c r="E36" s="291">
        <f>'3. Financials (Foreign)'!H36/Cover!D$17</f>
        <v>546.02360712197446</v>
      </c>
      <c r="F36" s="291">
        <f>'3. Financials (Foreign)'!I36/Cover!E$17</f>
        <v>0</v>
      </c>
      <c r="G36" s="291">
        <f>'3. Financials (Foreign)'!J36/Cover!F$17</f>
        <v>0</v>
      </c>
      <c r="H36" s="291">
        <f>'3. Financials (Foreign)'!K36/Cover!G$17</f>
        <v>0</v>
      </c>
    </row>
    <row r="37" spans="1:8" x14ac:dyDescent="0.2">
      <c r="A37" s="20" t="s">
        <v>63</v>
      </c>
      <c r="B37" s="294">
        <f>'3. Financials (Foreign)'!B37/Cover!A$17</f>
        <v>754.07509973540971</v>
      </c>
      <c r="C37" s="295">
        <f>'3. Financials (Foreign)'!C37/Cover!B$17</f>
        <v>701.88731266370394</v>
      </c>
      <c r="D37" s="296">
        <f>'3. Financials (Foreign)'!G37/Cover!C$17</f>
        <v>752.41622855929052</v>
      </c>
      <c r="E37" s="294">
        <f>'3. Financials (Foreign)'!H37/Cover!D$17</f>
        <v>760.6299516163233</v>
      </c>
      <c r="F37" s="294">
        <f>'3. Financials (Foreign)'!I37/Cover!E$17</f>
        <v>0</v>
      </c>
      <c r="G37" s="294">
        <f>'3. Financials (Foreign)'!J37/Cover!F$17</f>
        <v>0</v>
      </c>
      <c r="H37" s="294">
        <f>'3. Financials (Foreign)'!K37/Cover!G$17</f>
        <v>0</v>
      </c>
    </row>
    <row r="38" spans="1:8" ht="11.25" customHeight="1" x14ac:dyDescent="0.2">
      <c r="A38" s="17" t="s">
        <v>385</v>
      </c>
      <c r="B38" s="291">
        <f>'3. Financials (Foreign)'!B38/Cover!A$17</f>
        <v>794.06659994790448</v>
      </c>
      <c r="C38" s="292">
        <f>'3. Financials (Foreign)'!C38/Cover!B$17</f>
        <v>745.1110396302837</v>
      </c>
      <c r="D38" s="293">
        <f>'3. Financials (Foreign)'!G38/Cover!C$17</f>
        <v>752.41622855929052</v>
      </c>
      <c r="E38" s="291">
        <f>'3. Financials (Foreign)'!H38/Cover!D$17</f>
        <v>760.6299516163233</v>
      </c>
      <c r="F38" s="291">
        <f>'3. Financials (Foreign)'!I38/Cover!E$17</f>
        <v>0</v>
      </c>
      <c r="G38" s="291">
        <f>'3. Financials (Foreign)'!J38/Cover!F$17</f>
        <v>0</v>
      </c>
      <c r="H38" s="291">
        <f>'3. Financials (Foreign)'!K38/Cover!G$17</f>
        <v>0</v>
      </c>
    </row>
    <row r="39" spans="1:8" x14ac:dyDescent="0.2">
      <c r="A39" s="20" t="s">
        <v>62</v>
      </c>
      <c r="B39" s="294">
        <f>'3. Financials (Foreign)'!B39/Cover!A$17</f>
        <v>1149.7004510371112</v>
      </c>
      <c r="C39" s="295">
        <f>'3. Financials (Foreign)'!C39/Cover!B$17</f>
        <v>1300.4115982748319</v>
      </c>
      <c r="D39" s="296">
        <f>'3. Financials (Foreign)'!G39/Cover!C$17</f>
        <v>1222.986033667888</v>
      </c>
      <c r="E39" s="294">
        <f>'3. Financials (Foreign)'!H39/Cover!D$17</f>
        <v>1537.8658493487803</v>
      </c>
      <c r="F39" s="294">
        <f>'3. Financials (Foreign)'!I39/Cover!E$17</f>
        <v>0</v>
      </c>
      <c r="G39" s="294">
        <f>'3. Financials (Foreign)'!J39/Cover!F$17</f>
        <v>0</v>
      </c>
      <c r="H39" s="294">
        <f>'3. Financials (Foreign)'!K39/Cover!G$17</f>
        <v>0</v>
      </c>
    </row>
    <row r="40" spans="1:8" x14ac:dyDescent="0.2">
      <c r="A40" s="20" t="s">
        <v>61</v>
      </c>
      <c r="B40" s="294">
        <f>'3. Financials (Foreign)'!B40/Cover!A$17</f>
        <v>1943.7670509850157</v>
      </c>
      <c r="C40" s="295">
        <f>'3. Financials (Foreign)'!C40/Cover!B$17</f>
        <v>2045.522637905116</v>
      </c>
      <c r="D40" s="296">
        <f>'3. Financials (Foreign)'!G40/Cover!C$17</f>
        <v>1975.4022622271784</v>
      </c>
      <c r="E40" s="294">
        <f>'3. Financials (Foreign)'!H40/Cover!D$17</f>
        <v>2298.4958009651041</v>
      </c>
      <c r="F40" s="294">
        <f>'3. Financials (Foreign)'!I40/Cover!E$17</f>
        <v>0</v>
      </c>
      <c r="G40" s="294">
        <f>'3. Financials (Foreign)'!J40/Cover!F$17</f>
        <v>0</v>
      </c>
      <c r="H40" s="294">
        <f>'3. Financials (Foreign)'!K40/Cover!G$17</f>
        <v>0</v>
      </c>
    </row>
    <row r="41" spans="1:8" x14ac:dyDescent="0.2">
      <c r="A41" s="20" t="s">
        <v>60</v>
      </c>
      <c r="B41" s="294">
        <f>'3. Financials (Foreign)'!B41/Cover!A$17</f>
        <v>200.60321072618348</v>
      </c>
      <c r="C41" s="295">
        <f>'3. Financials (Foreign)'!C41/Cover!B$17</f>
        <v>393.74659463149811</v>
      </c>
      <c r="D41" s="296">
        <f>'3. Financials (Foreign)'!G41/Cover!C$17</f>
        <v>361.66693218628888</v>
      </c>
      <c r="E41" s="294">
        <f>'3. Financials (Foreign)'!H41/Cover!D$17</f>
        <v>503.88161741555342</v>
      </c>
      <c r="F41" s="294">
        <f>'3. Financials (Foreign)'!I41/Cover!E$17</f>
        <v>0</v>
      </c>
      <c r="G41" s="294">
        <f>'3. Financials (Foreign)'!J41/Cover!F$17</f>
        <v>0</v>
      </c>
      <c r="H41" s="294">
        <f>'3. Financials (Foreign)'!K41/Cover!G$17</f>
        <v>0</v>
      </c>
    </row>
    <row r="42" spans="1:8" x14ac:dyDescent="0.2">
      <c r="A42" s="20" t="s">
        <v>117</v>
      </c>
      <c r="B42" s="294">
        <f>'3. Financials (Foreign)'!B42/Cover!A$17</f>
        <v>-114.24948247261561</v>
      </c>
      <c r="C42" s="295">
        <f>'3. Financials (Foreign)'!C42/Cover!B$17</f>
        <v>-264.23296331064182</v>
      </c>
      <c r="D42" s="296">
        <f>'3. Financials (Foreign)'!G42/Cover!C$17</f>
        <v>-359.88529552333915</v>
      </c>
      <c r="E42" s="294">
        <f>'3. Financials (Foreign)'!H42/Cover!D$17</f>
        <v>-113.82822188381492</v>
      </c>
      <c r="F42" s="294">
        <f>'3. Financials (Foreign)'!I42/Cover!E$17</f>
        <v>0</v>
      </c>
      <c r="G42" s="294">
        <f>'3. Financials (Foreign)'!J42/Cover!F$17</f>
        <v>0</v>
      </c>
      <c r="H42" s="294">
        <f>'3. Financials (Foreign)'!K42/Cover!G$17</f>
        <v>0</v>
      </c>
    </row>
    <row r="43" spans="1:8" outlineLevel="1" x14ac:dyDescent="0.2">
      <c r="A43" s="80" t="s">
        <v>118</v>
      </c>
      <c r="B43" s="294">
        <f>'3. Financials (Foreign)'!B43/Cover!A$17</f>
        <v>3038.4505709937894</v>
      </c>
      <c r="C43" s="295">
        <f>'3. Financials (Foreign)'!C43/Cover!B$17</f>
        <v>2927.070299935011</v>
      </c>
      <c r="D43" s="296">
        <f>'3. Financials (Foreign)'!G43/Cover!C$17</f>
        <v>3036.7572088577349</v>
      </c>
      <c r="E43" s="294">
        <f>'3. Financials (Foreign)'!H43/Cover!D$17</f>
        <v>2839.2184076437215</v>
      </c>
      <c r="F43" s="294">
        <f>'3. Financials (Foreign)'!I43/Cover!E$17</f>
        <v>0</v>
      </c>
      <c r="G43" s="294">
        <f>'3. Financials (Foreign)'!J43/Cover!F$17</f>
        <v>0</v>
      </c>
      <c r="H43" s="294">
        <f>'3. Financials (Foreign)'!K43/Cover!G$17</f>
        <v>0</v>
      </c>
    </row>
    <row r="44" spans="1:8" outlineLevel="1" x14ac:dyDescent="0.2">
      <c r="A44" s="80" t="s">
        <v>119</v>
      </c>
      <c r="B44" s="294">
        <f>'3. Financials (Foreign)'!B44/Cover!A$17</f>
        <v>2837.8473602676063</v>
      </c>
      <c r="C44" s="295">
        <f>'3. Financials (Foreign)'!C44/Cover!B$17</f>
        <v>2533.3237053035127</v>
      </c>
      <c r="D44" s="296">
        <f>'3. Financials (Foreign)'!G44/Cover!C$17</f>
        <v>2675.0902766714457</v>
      </c>
      <c r="E44" s="294">
        <f>'3. Financials (Foreign)'!H44/Cover!D$17</f>
        <v>2335.336790228168</v>
      </c>
      <c r="F44" s="294">
        <f>'3. Financials (Foreign)'!I44/Cover!E$17</f>
        <v>0</v>
      </c>
      <c r="G44" s="294">
        <f>'3. Financials (Foreign)'!J44/Cover!F$17</f>
        <v>0</v>
      </c>
      <c r="H44" s="294">
        <f>'3. Financials (Foreign)'!K44/Cover!G$17</f>
        <v>0</v>
      </c>
    </row>
    <row r="45" spans="1:8" outlineLevel="1" x14ac:dyDescent="0.2">
      <c r="A45" s="80" t="s">
        <v>347</v>
      </c>
      <c r="B45" s="294">
        <f>'3. Financials (Foreign)'!B45/Cover!A$17</f>
        <v>0</v>
      </c>
      <c r="C45" s="295">
        <f>'3. Financials (Foreign)'!C45/Cover!B$17</f>
        <v>0</v>
      </c>
      <c r="D45" s="296">
        <f>'3. Financials (Foreign)'!G45/Cover!C$17</f>
        <v>0</v>
      </c>
      <c r="E45" s="294">
        <f>'3. Financials (Foreign)'!H45/Cover!D$17</f>
        <v>0</v>
      </c>
      <c r="F45" s="294">
        <f>'3. Financials (Foreign)'!I45/Cover!E$17</f>
        <v>0</v>
      </c>
      <c r="G45" s="294">
        <f>'3. Financials (Foreign)'!J45/Cover!F$17</f>
        <v>0</v>
      </c>
      <c r="H45" s="294">
        <f>'3. Financials (Foreign)'!K45/Cover!G$17</f>
        <v>0</v>
      </c>
    </row>
    <row r="46" spans="1:8" outlineLevel="1" x14ac:dyDescent="0.2">
      <c r="A46" s="80" t="s">
        <v>348</v>
      </c>
      <c r="B46" s="294">
        <f>'3. Financials (Foreign)'!B46/Cover!A$17</f>
        <v>127.00738933139574</v>
      </c>
      <c r="C46" s="295">
        <f>'3. Financials (Foreign)'!C46/Cover!B$17</f>
        <v>129.59634484976991</v>
      </c>
      <c r="D46" s="296">
        <f>'3. Financials (Foreign)'!G46/Cover!C$17</f>
        <v>128.88720726461685</v>
      </c>
      <c r="E46" s="294">
        <f>'3. Financials (Foreign)'!H46/Cover!D$17</f>
        <v>448.19733857650471</v>
      </c>
      <c r="F46" s="294">
        <f>'3. Financials (Foreign)'!I46/Cover!E$17</f>
        <v>0</v>
      </c>
      <c r="G46" s="294">
        <f>'3. Financials (Foreign)'!J46/Cover!F$17</f>
        <v>0</v>
      </c>
      <c r="H46" s="294">
        <f>'3. Financials (Foreign)'!K46/Cover!G$17</f>
        <v>0</v>
      </c>
    </row>
    <row r="47" spans="1:8" outlineLevel="1" x14ac:dyDescent="0.2">
      <c r="A47" s="80" t="s">
        <v>392</v>
      </c>
      <c r="B47" s="294">
        <f>'3. Financials (Foreign)'!B47/Cover!A$17</f>
        <v>744.08373661626194</v>
      </c>
      <c r="C47" s="294">
        <f>'3. Financials (Foreign)'!C47/Cover!B$17</f>
        <v>1000.5396073076746</v>
      </c>
      <c r="D47" s="294">
        <f>'3. Financials (Foreign)'!G47/Cover!C$17</f>
        <v>890.57670861876693</v>
      </c>
      <c r="E47" s="294">
        <f>'3. Financials (Foreign)'!H47/Cover!D$17</f>
        <v>1054.0509281569869</v>
      </c>
      <c r="F47" s="294">
        <f>'3. Financials (Foreign)'!I47/Cover!E$17</f>
        <v>0</v>
      </c>
      <c r="G47" s="294">
        <f>'3. Financials (Foreign)'!J47/Cover!F$17</f>
        <v>0</v>
      </c>
      <c r="H47" s="294">
        <f>'3. Financials (Foreign)'!K47/Cover!G$17</f>
        <v>0</v>
      </c>
    </row>
    <row r="48" spans="1:8" outlineLevel="1" x14ac:dyDescent="0.2">
      <c r="A48" s="80" t="s">
        <v>475</v>
      </c>
      <c r="B48" s="294">
        <f>'3. Financials (Foreign)'!B48/Cover!A$17</f>
        <v>2167.1277572899385</v>
      </c>
      <c r="C48" s="294">
        <f>'3. Financials (Foreign)'!C48/Cover!B$17</f>
        <v>1952.2322805957997</v>
      </c>
      <c r="D48" s="294">
        <f>'3. Financials (Foreign)'!G48/Cover!C$17</f>
        <v>2131.9459933089056</v>
      </c>
      <c r="E48" s="294">
        <f>'3. Financials (Foreign)'!H48/Cover!D$17</f>
        <v>1791.8563782279882</v>
      </c>
      <c r="F48" s="294">
        <f>'3. Financials (Foreign)'!I48/Cover!E$17</f>
        <v>0</v>
      </c>
      <c r="G48" s="294">
        <f>'3. Financials (Foreign)'!J48/Cover!F$17</f>
        <v>0</v>
      </c>
      <c r="H48" s="294">
        <f>'3. Financials (Foreign)'!K48/Cover!G$17</f>
        <v>0</v>
      </c>
    </row>
    <row r="49" spans="1:8" outlineLevel="1" x14ac:dyDescent="0.2">
      <c r="A49" s="80" t="s">
        <v>393</v>
      </c>
      <c r="B49" s="294">
        <f>'3. Financials (Foreign)'!B49/Cover!A$17</f>
        <v>1373.1201074811838</v>
      </c>
      <c r="C49" s="295">
        <f>'3. Financials (Foreign)'!C49/Cover!B$17</f>
        <v>1287.3796222748847</v>
      </c>
      <c r="D49" s="296">
        <f>'3. Financials (Foreign)'!G49/Cover!C$17</f>
        <v>1229.439488078169</v>
      </c>
      <c r="E49" s="294">
        <f>'3. Financials (Foreign)'!H49/Cover!D$17</f>
        <v>1183.5444095328053</v>
      </c>
      <c r="F49" s="294">
        <f>'3. Financials (Foreign)'!I49/Cover!E$17</f>
        <v>0</v>
      </c>
      <c r="G49" s="294">
        <f>'3. Financials (Foreign)'!J49/Cover!F$17</f>
        <v>0</v>
      </c>
      <c r="H49" s="294">
        <f>'3. Financials (Foreign)'!K49/Cover!G$17</f>
        <v>0</v>
      </c>
    </row>
    <row r="50" spans="1:8" ht="15" x14ac:dyDescent="0.25">
      <c r="A50" s="15" t="s">
        <v>59</v>
      </c>
      <c r="B50" s="16"/>
      <c r="C50" s="16"/>
      <c r="D50" s="246"/>
      <c r="E50" s="16"/>
      <c r="F50" s="16"/>
      <c r="G50" s="16"/>
      <c r="H50" s="16"/>
    </row>
    <row r="51" spans="1:8" x14ac:dyDescent="0.2">
      <c r="A51" s="20" t="s">
        <v>120</v>
      </c>
      <c r="B51" s="297">
        <f t="shared" ref="B51:C51" si="1">(B12-B30)/B10</f>
        <v>-1.6975178481479267E-2</v>
      </c>
      <c r="C51" s="298">
        <f t="shared" si="1"/>
        <v>-5.7979910068602862E-2</v>
      </c>
      <c r="D51" s="299">
        <f>(D12-D30)/D10</f>
        <v>-3.0513365848724008E-2</v>
      </c>
      <c r="E51" s="297">
        <f>(E12-E30)/E10</f>
        <v>1.222785392079857E-3</v>
      </c>
      <c r="F51" s="297" t="e">
        <f>(F12-F30)/F10</f>
        <v>#DIV/0!</v>
      </c>
      <c r="G51" s="297" t="e">
        <f t="shared" ref="G51:H51" si="2">(G12-G30)/G10</f>
        <v>#DIV/0!</v>
      </c>
      <c r="H51" s="297" t="e">
        <f t="shared" si="2"/>
        <v>#DIV/0!</v>
      </c>
    </row>
    <row r="52" spans="1:8" ht="11.25" customHeight="1" outlineLevel="1" x14ac:dyDescent="0.2">
      <c r="A52" s="17" t="s">
        <v>127</v>
      </c>
      <c r="B52" s="300">
        <f>(B12-B30)/AVERAGE(B10:C10)</f>
        <v>-1.7484322145645027E-2</v>
      </c>
      <c r="C52" s="301">
        <f t="shared" ref="C52:G52" si="3">(C12-C30)/AVERAGE(C10:D10)</f>
        <v>-3.7581274225550722E-2</v>
      </c>
      <c r="D52" s="302">
        <f t="shared" si="3"/>
        <v>-3.0139486708709213E-2</v>
      </c>
      <c r="E52" s="300">
        <f t="shared" si="3"/>
        <v>2.4455707841597139E-3</v>
      </c>
      <c r="F52" s="300" t="e">
        <f t="shared" si="3"/>
        <v>#DIV/0!</v>
      </c>
      <c r="G52" s="300" t="e">
        <f t="shared" si="3"/>
        <v>#DIV/0!</v>
      </c>
      <c r="H52" s="300"/>
    </row>
    <row r="53" spans="1:8" ht="11.25" customHeight="1" outlineLevel="1" x14ac:dyDescent="0.2">
      <c r="A53" s="17" t="s">
        <v>123</v>
      </c>
      <c r="B53" s="291">
        <f>(B12-B30)/(AVERAGE(B13:C13))*-1</f>
        <v>-5.8475353052927517</v>
      </c>
      <c r="C53" s="292">
        <f>(C12-C30)/(AVERAGE(C13:D13))*-1</f>
        <v>-18.973878177773496</v>
      </c>
      <c r="D53" s="293">
        <f>(D12-D30)/(AVERAGE(D13:E13))*-1</f>
        <v>-8.6029716571539208</v>
      </c>
      <c r="E53" s="291">
        <f>(E12-E30)/(AVERAGE(E13:F13))*-1</f>
        <v>0.56040397810500509</v>
      </c>
      <c r="F53" s="291" t="e">
        <f t="shared" ref="F53:G53" si="4">(F12-F30)/(AVERAGE(F13:G13))*-1</f>
        <v>#DIV/0!</v>
      </c>
      <c r="G53" s="291" t="e">
        <f t="shared" si="4"/>
        <v>#DIV/0!</v>
      </c>
      <c r="H53" s="291"/>
    </row>
    <row r="54" spans="1:8" x14ac:dyDescent="0.2">
      <c r="A54" s="20" t="s">
        <v>126</v>
      </c>
      <c r="B54" s="297">
        <f>B12/B10</f>
        <v>7.1286032904274732E-4</v>
      </c>
      <c r="C54" s="298">
        <f>C12/C10</f>
        <v>2.537826340169001E-3</v>
      </c>
      <c r="D54" s="299">
        <f>D12/D10</f>
        <v>7.3978865827174526E-3</v>
      </c>
      <c r="E54" s="297">
        <f>E12/E10</f>
        <v>2.176117263588306E-2</v>
      </c>
      <c r="F54" s="297" t="e">
        <f>F12/F10</f>
        <v>#DIV/0!</v>
      </c>
      <c r="G54" s="297" t="e">
        <f t="shared" ref="G54:H54" si="5">G12/G10</f>
        <v>#DIV/0!</v>
      </c>
      <c r="H54" s="297" t="e">
        <f t="shared" si="5"/>
        <v>#DIV/0!</v>
      </c>
    </row>
    <row r="55" spans="1:8" x14ac:dyDescent="0.2">
      <c r="A55" s="20" t="s">
        <v>58</v>
      </c>
      <c r="B55" s="294">
        <f>B12/B13*-1</f>
        <v>0.13711050126793364</v>
      </c>
      <c r="C55" s="295">
        <f t="shared" ref="C55:H55" si="6">C12/C13*-1</f>
        <v>3.9389965792474277</v>
      </c>
      <c r="D55" s="296">
        <f t="shared" si="6"/>
        <v>2.8220387920785366</v>
      </c>
      <c r="E55" s="294">
        <f t="shared" si="6"/>
        <v>4.9865854598720221</v>
      </c>
      <c r="F55" s="294" t="e">
        <f t="shared" si="6"/>
        <v>#DIV/0!</v>
      </c>
      <c r="G55" s="294" t="e">
        <f t="shared" si="6"/>
        <v>#DIV/0!</v>
      </c>
      <c r="H55" s="294" t="e">
        <f t="shared" si="6"/>
        <v>#DIV/0!</v>
      </c>
    </row>
    <row r="56" spans="1:8" x14ac:dyDescent="0.2">
      <c r="A56" s="20" t="s">
        <v>57</v>
      </c>
      <c r="B56" s="294">
        <f>B37/B12</f>
        <v>139.3577400557383</v>
      </c>
      <c r="C56" s="295">
        <f>C37/C12</f>
        <v>38.68888406426413</v>
      </c>
      <c r="D56" s="296">
        <f>D37/D12</f>
        <v>6.8219023086737751</v>
      </c>
      <c r="E56" s="294">
        <f>E37/E12</f>
        <v>2.2877197322243004</v>
      </c>
      <c r="F56" s="294" t="e">
        <f>F37/F12</f>
        <v>#DIV/0!</v>
      </c>
      <c r="G56" s="294" t="e">
        <f t="shared" ref="G56:H56" si="7">G37/G12</f>
        <v>#DIV/0!</v>
      </c>
      <c r="H56" s="294" t="e">
        <f t="shared" si="7"/>
        <v>#DIV/0!</v>
      </c>
    </row>
    <row r="57" spans="1:8" ht="11.25" customHeight="1" x14ac:dyDescent="0.2">
      <c r="A57" s="17" t="s">
        <v>56</v>
      </c>
      <c r="B57" s="291">
        <f>(B37-B32)/B12</f>
        <v>25.150240689130918</v>
      </c>
      <c r="C57" s="292">
        <f>(C37-C32)/C12</f>
        <v>15.367925893761811</v>
      </c>
      <c r="D57" s="293">
        <f>(D37-D32)/D12</f>
        <v>0.72128602036640244</v>
      </c>
      <c r="E57" s="291">
        <f>(E37-E32)/E12</f>
        <v>1.1167808166231195</v>
      </c>
      <c r="F57" s="291" t="e">
        <f>(F37-F32)/F12</f>
        <v>#DIV/0!</v>
      </c>
      <c r="G57" s="291" t="e">
        <f t="shared" ref="G57:H57" si="8">(G37-G32)/G12</f>
        <v>#DIV/0!</v>
      </c>
      <c r="H57" s="291" t="e">
        <f t="shared" si="8"/>
        <v>#DIV/0!</v>
      </c>
    </row>
    <row r="58" spans="1:8" x14ac:dyDescent="0.2">
      <c r="A58" s="20" t="s">
        <v>55</v>
      </c>
      <c r="B58" s="294">
        <f>B38/B12</f>
        <v>146.74841651887485</v>
      </c>
      <c r="C58" s="295">
        <f>C38/C12</f>
        <v>41.071428571428697</v>
      </c>
      <c r="D58" s="296">
        <f>D38/D12</f>
        <v>6.8219023086737751</v>
      </c>
      <c r="E58" s="294">
        <f>E38/E12</f>
        <v>2.2877197322243004</v>
      </c>
      <c r="F58" s="294" t="e">
        <f>F38/F12</f>
        <v>#DIV/0!</v>
      </c>
      <c r="G58" s="294" t="e">
        <f t="shared" ref="G58:H58" si="9">G38/G12</f>
        <v>#DIV/0!</v>
      </c>
      <c r="H58" s="294" t="e">
        <f t="shared" si="9"/>
        <v>#DIV/0!</v>
      </c>
    </row>
    <row r="59" spans="1:8" ht="11.25" customHeight="1" x14ac:dyDescent="0.2">
      <c r="A59" s="17" t="s">
        <v>54</v>
      </c>
      <c r="B59" s="291">
        <f>(B38-B32)/B12</f>
        <v>32.540917152267482</v>
      </c>
      <c r="C59" s="292">
        <f>(C38-C32)/C12</f>
        <v>17.750470400926385</v>
      </c>
      <c r="D59" s="293">
        <f>(D38-D32)/D12</f>
        <v>0.72128602036640244</v>
      </c>
      <c r="E59" s="291">
        <f>(E38-E32)/E12</f>
        <v>1.1167808166231195</v>
      </c>
      <c r="F59" s="291" t="e">
        <f>(F38-F32)/F12</f>
        <v>#DIV/0!</v>
      </c>
      <c r="G59" s="291" t="e">
        <f t="shared" ref="G59:H59" si="10">(G38-G32)/G12</f>
        <v>#DIV/0!</v>
      </c>
      <c r="H59" s="291" t="e">
        <f t="shared" si="10"/>
        <v>#DIV/0!</v>
      </c>
    </row>
    <row r="60" spans="1:8" ht="11.25" customHeight="1" outlineLevel="1" x14ac:dyDescent="0.2">
      <c r="A60" s="17" t="s">
        <v>394</v>
      </c>
      <c r="B60" s="291">
        <f>(B32+B47+B49)/(B35+B48)</f>
        <v>1.1311800535107122</v>
      </c>
      <c r="C60" s="292">
        <f t="shared" ref="C60:H60" si="11">(C32+C47+C49)/(C35+C48)</f>
        <v>1.2775617102156582</v>
      </c>
      <c r="D60" s="293">
        <f t="shared" si="11"/>
        <v>1.177336265143379</v>
      </c>
      <c r="E60" s="291">
        <f t="shared" si="11"/>
        <v>1.3092262474709209</v>
      </c>
      <c r="F60" s="291" t="e">
        <f t="shared" si="11"/>
        <v>#DIV/0!</v>
      </c>
      <c r="G60" s="291" t="e">
        <f t="shared" si="11"/>
        <v>#DIV/0!</v>
      </c>
      <c r="H60" s="291" t="e">
        <f t="shared" si="11"/>
        <v>#DIV/0!</v>
      </c>
    </row>
    <row r="61" spans="1:8" ht="11.25" customHeight="1" outlineLevel="1" x14ac:dyDescent="0.2">
      <c r="A61" s="17" t="s">
        <v>395</v>
      </c>
      <c r="B61" s="291">
        <f>(B32+B47+B49)/(B38+B48)</f>
        <v>0.92367767539018808</v>
      </c>
      <c r="C61" s="292">
        <f t="shared" ref="C61:H61" si="12">(C32+C47+C49)/(C38+C48)</f>
        <v>1.0050645616002556</v>
      </c>
      <c r="D61" s="293">
        <f t="shared" si="12"/>
        <v>0.96828295092968519</v>
      </c>
      <c r="E61" s="291">
        <f t="shared" si="12"/>
        <v>1.0291587580491686</v>
      </c>
      <c r="F61" s="291" t="e">
        <f t="shared" si="12"/>
        <v>#DIV/0!</v>
      </c>
      <c r="G61" s="291" t="e">
        <f t="shared" si="12"/>
        <v>#DIV/0!</v>
      </c>
      <c r="H61" s="291" t="e">
        <f t="shared" si="12"/>
        <v>#DIV/0!</v>
      </c>
    </row>
    <row r="62" spans="1:8" ht="11.25" customHeight="1" outlineLevel="1" x14ac:dyDescent="0.2">
      <c r="A62" s="17" t="s">
        <v>396</v>
      </c>
      <c r="B62" s="291">
        <f>((B32+B47+B49)*0.75)/(B35+B48)</f>
        <v>0.84838504013303417</v>
      </c>
      <c r="C62" s="292">
        <f t="shared" ref="C62:H62" si="13">((C32+C47+C49)*0.75)/(C35+C48)</f>
        <v>0.95817128266174356</v>
      </c>
      <c r="D62" s="293">
        <f t="shared" si="13"/>
        <v>0.88300219885753417</v>
      </c>
      <c r="E62" s="291">
        <f t="shared" si="13"/>
        <v>0.98191968560319065</v>
      </c>
      <c r="F62" s="291" t="e">
        <f t="shared" si="13"/>
        <v>#DIV/0!</v>
      </c>
      <c r="G62" s="291" t="e">
        <f t="shared" si="13"/>
        <v>#DIV/0!</v>
      </c>
      <c r="H62" s="291" t="e">
        <f t="shared" si="13"/>
        <v>#DIV/0!</v>
      </c>
    </row>
    <row r="63" spans="1:8" ht="11.25" customHeight="1" outlineLevel="1" x14ac:dyDescent="0.2">
      <c r="A63" s="17" t="s">
        <v>397</v>
      </c>
      <c r="B63" s="291">
        <f>((B32+B47+B49)*0.75)/(B36+B48)</f>
        <v>0.76821534513934031</v>
      </c>
      <c r="C63" s="292">
        <f t="shared" ref="C63:H63" si="14">((C32+C47+C49)*0.75)/(C36+C48)</f>
        <v>0.81842867659532426</v>
      </c>
      <c r="D63" s="293">
        <f t="shared" si="14"/>
        <v>0.79219911962310585</v>
      </c>
      <c r="E63" s="291">
        <f t="shared" si="14"/>
        <v>0.84272300469483574</v>
      </c>
      <c r="F63" s="291" t="e">
        <f t="shared" si="14"/>
        <v>#DIV/0!</v>
      </c>
      <c r="G63" s="291" t="e">
        <f t="shared" si="14"/>
        <v>#DIV/0!</v>
      </c>
      <c r="H63" s="291" t="e">
        <f t="shared" si="14"/>
        <v>#DIV/0!</v>
      </c>
    </row>
    <row r="64" spans="1:8" x14ac:dyDescent="0.2">
      <c r="A64" s="20" t="s">
        <v>53</v>
      </c>
      <c r="B64" s="303">
        <f>B17/B38</f>
        <v>-0.11221547747299798</v>
      </c>
      <c r="C64" s="304">
        <f>C17/C38</f>
        <v>-5.7373683978679389E-2</v>
      </c>
      <c r="D64" s="305">
        <f>D17/D38</f>
        <v>-6.2655491839435362E-2</v>
      </c>
      <c r="E64" s="303">
        <f>E17/E38</f>
        <v>1.8859987024572235E-2</v>
      </c>
      <c r="F64" s="303" t="e">
        <f>F17/F38</f>
        <v>#DIV/0!</v>
      </c>
      <c r="G64" s="303" t="e">
        <f t="shared" ref="G64:H64" si="15">G17/G38</f>
        <v>#DIV/0!</v>
      </c>
      <c r="H64" s="303" t="e">
        <f t="shared" si="15"/>
        <v>#DIV/0!</v>
      </c>
    </row>
    <row r="65" spans="1:8" ht="11.25" customHeight="1" outlineLevel="1" x14ac:dyDescent="0.2">
      <c r="A65" s="17" t="s">
        <v>124</v>
      </c>
      <c r="B65" s="300">
        <f>B17/AVERAGE(B38:C38)</f>
        <v>-0.11578463767565367</v>
      </c>
      <c r="C65" s="301">
        <f t="shared" ref="C65:G65" si="16">C17/AVERAGE(C38:D38)</f>
        <v>-5.7093805535114159E-2</v>
      </c>
      <c r="D65" s="302">
        <f t="shared" si="16"/>
        <v>-6.2315360213108163E-2</v>
      </c>
      <c r="E65" s="300">
        <f t="shared" si="16"/>
        <v>3.771997404914447E-2</v>
      </c>
      <c r="F65" s="300" t="e">
        <f t="shared" si="16"/>
        <v>#DIV/0!</v>
      </c>
      <c r="G65" s="300" t="e">
        <f t="shared" si="16"/>
        <v>#DIV/0!</v>
      </c>
      <c r="H65" s="300"/>
    </row>
    <row r="66" spans="1:8" x14ac:dyDescent="0.2">
      <c r="A66" s="20" t="s">
        <v>52</v>
      </c>
      <c r="B66" s="303">
        <f>B22/B38</f>
        <v>-4.6074348774895725E-2</v>
      </c>
      <c r="C66" s="304">
        <f>C22/C38</f>
        <v>0.10807101008766133</v>
      </c>
      <c r="D66" s="305">
        <f>D22/D38</f>
        <v>0.37914777238641378</v>
      </c>
      <c r="E66" s="303">
        <f>E22/E38</f>
        <v>0.71490552266645035</v>
      </c>
      <c r="F66" s="303" t="e">
        <f>F22/F38</f>
        <v>#DIV/0!</v>
      </c>
      <c r="G66" s="303" t="e">
        <f t="shared" ref="G66:H66" si="17">G22/G38</f>
        <v>#DIV/0!</v>
      </c>
      <c r="H66" s="303" t="e">
        <f t="shared" si="17"/>
        <v>#DIV/0!</v>
      </c>
    </row>
    <row r="67" spans="1:8" ht="11.25" customHeight="1" outlineLevel="1" x14ac:dyDescent="0.2">
      <c r="A67" s="17" t="s">
        <v>122</v>
      </c>
      <c r="B67" s="300">
        <f t="shared" ref="B67:C67" si="18">B22/(AVERAGE(B38:C38))</f>
        <v>-4.7539803770176615E-2</v>
      </c>
      <c r="C67" s="301">
        <f t="shared" si="18"/>
        <v>0.10754382159286123</v>
      </c>
      <c r="D67" s="302">
        <f>D22/(AVERAGE(D38:E38))</f>
        <v>0.3770895306480741</v>
      </c>
      <c r="E67" s="300">
        <f>E22/(AVERAGE(E38:F38))</f>
        <v>1.4298110453329007</v>
      </c>
      <c r="F67" s="300" t="e">
        <f t="shared" ref="F67:G67" si="19">F22/(AVERAGE(F38:G38))</f>
        <v>#DIV/0!</v>
      </c>
      <c r="G67" s="300" t="e">
        <f t="shared" si="19"/>
        <v>#DIV/0!</v>
      </c>
      <c r="H67" s="300"/>
    </row>
    <row r="68" spans="1:8" x14ac:dyDescent="0.2">
      <c r="A68" s="20" t="s">
        <v>116</v>
      </c>
      <c r="B68" s="303">
        <f>-B26/B22</f>
        <v>0</v>
      </c>
      <c r="C68" s="304">
        <f t="shared" ref="C68:H68" si="20">-C26/C22</f>
        <v>0</v>
      </c>
      <c r="D68" s="305">
        <f t="shared" si="20"/>
        <v>0</v>
      </c>
      <c r="E68" s="303">
        <f t="shared" si="20"/>
        <v>0</v>
      </c>
      <c r="F68" s="303" t="e">
        <f t="shared" si="20"/>
        <v>#DIV/0!</v>
      </c>
      <c r="G68" s="303" t="e">
        <f t="shared" si="20"/>
        <v>#DIV/0!</v>
      </c>
      <c r="H68" s="303" t="e">
        <f t="shared" si="20"/>
        <v>#DIV/0!</v>
      </c>
    </row>
    <row r="69" spans="1:8" x14ac:dyDescent="0.2">
      <c r="A69" s="20" t="s">
        <v>51</v>
      </c>
      <c r="B69" s="303">
        <f>B38/B40</f>
        <v>0.4085194260009225</v>
      </c>
      <c r="C69" s="304">
        <f>C38/C40</f>
        <v>0.3642643820326405</v>
      </c>
      <c r="D69" s="305">
        <f>D38/D40</f>
        <v>0.38089266320418941</v>
      </c>
      <c r="E69" s="303">
        <f>E38/E40</f>
        <v>0.33092509949200088</v>
      </c>
      <c r="F69" s="303" t="e">
        <f>F38/F40</f>
        <v>#DIV/0!</v>
      </c>
      <c r="G69" s="303" t="e">
        <f t="shared" ref="G69:H69" si="21">G38/G40</f>
        <v>#DIV/0!</v>
      </c>
      <c r="H69" s="303" t="e">
        <f t="shared" si="21"/>
        <v>#DIV/0!</v>
      </c>
    </row>
    <row r="70" spans="1:8" ht="15" x14ac:dyDescent="0.25">
      <c r="A70" s="15" t="s">
        <v>50</v>
      </c>
      <c r="B70" s="16"/>
      <c r="C70" s="16"/>
      <c r="D70" s="246"/>
      <c r="E70" s="16"/>
      <c r="F70" s="16"/>
      <c r="G70" s="16"/>
      <c r="H70" s="16"/>
    </row>
    <row r="71" spans="1:8" x14ac:dyDescent="0.2">
      <c r="A71" s="20" t="s">
        <v>49</v>
      </c>
      <c r="B71" s="303">
        <f>B43/B34</f>
        <v>0.59641446870941639</v>
      </c>
      <c r="C71" s="304">
        <f t="shared" ref="C71:H71" si="22">C43/C34</f>
        <v>0.58571196630506417</v>
      </c>
      <c r="D71" s="305">
        <f t="shared" si="22"/>
        <v>0.59981340128086036</v>
      </c>
      <c r="E71" s="303">
        <f t="shared" si="22"/>
        <v>0.56076033992551111</v>
      </c>
      <c r="F71" s="303" t="e">
        <f t="shared" si="22"/>
        <v>#DIV/0!</v>
      </c>
      <c r="G71" s="303" t="e">
        <f t="shared" si="22"/>
        <v>#DIV/0!</v>
      </c>
      <c r="H71" s="303" t="e">
        <f t="shared" si="22"/>
        <v>#DIV/0!</v>
      </c>
    </row>
    <row r="72" spans="1:8" x14ac:dyDescent="0.2">
      <c r="A72" s="20" t="s">
        <v>48</v>
      </c>
      <c r="B72" s="294">
        <f>B43/B44</f>
        <v>1.0706885132494464</v>
      </c>
      <c r="C72" s="295">
        <f t="shared" ref="C72:H72" si="23">C43/C44</f>
        <v>1.1554268780603085</v>
      </c>
      <c r="D72" s="296">
        <f t="shared" si="23"/>
        <v>1.1351980287694452</v>
      </c>
      <c r="E72" s="294">
        <f t="shared" si="23"/>
        <v>1.2157640043714308</v>
      </c>
      <c r="F72" s="294" t="e">
        <f t="shared" si="23"/>
        <v>#DIV/0!</v>
      </c>
      <c r="G72" s="294" t="e">
        <f t="shared" si="23"/>
        <v>#DIV/0!</v>
      </c>
      <c r="H72" s="294" t="e">
        <f t="shared" si="23"/>
        <v>#DIV/0!</v>
      </c>
    </row>
    <row r="73" spans="1:8" ht="15" x14ac:dyDescent="0.25">
      <c r="A73" s="15" t="s">
        <v>47</v>
      </c>
      <c r="B73" s="15"/>
      <c r="C73" s="15"/>
      <c r="D73" s="247"/>
      <c r="E73" s="15"/>
      <c r="F73" s="15"/>
      <c r="G73" s="15"/>
      <c r="H73" s="15"/>
    </row>
    <row r="74" spans="1:8" x14ac:dyDescent="0.2">
      <c r="A74" s="20" t="s">
        <v>46</v>
      </c>
      <c r="B74" s="303">
        <f>B10/C10-1</f>
        <v>6.1841684390271379E-2</v>
      </c>
      <c r="C74" s="304"/>
      <c r="D74" s="305">
        <f>D10/E10-1</f>
        <v>-2.4209290284783025E-2</v>
      </c>
      <c r="E74" s="303"/>
      <c r="F74" s="303" t="e">
        <f t="shared" ref="F74:G74" si="24">F10/G10-1</f>
        <v>#DIV/0!</v>
      </c>
      <c r="G74" s="303" t="e">
        <f t="shared" si="24"/>
        <v>#DIV/0!</v>
      </c>
      <c r="H74" s="303"/>
    </row>
    <row r="75" spans="1:8" x14ac:dyDescent="0.2">
      <c r="A75" s="20" t="s">
        <v>474</v>
      </c>
      <c r="B75" s="303">
        <f>B11/B10</f>
        <v>1.5106245447546122E-2</v>
      </c>
      <c r="C75" s="303">
        <f>C11/C10</f>
        <v>1.8139636281623361E-2</v>
      </c>
      <c r="D75" s="305">
        <f>D11/D10</f>
        <v>1.8060966179410713E-2</v>
      </c>
      <c r="E75" s="303">
        <f>E11/E10</f>
        <v>2.6246148936741091E-2</v>
      </c>
      <c r="F75" s="303" t="e">
        <f t="shared" ref="F75:H75" si="25">F11/F10</f>
        <v>#DIV/0!</v>
      </c>
      <c r="G75" s="303" t="e">
        <f t="shared" si="25"/>
        <v>#DIV/0!</v>
      </c>
      <c r="H75" s="303" t="e">
        <f t="shared" si="25"/>
        <v>#DIV/0!</v>
      </c>
    </row>
    <row r="76" spans="1:8" x14ac:dyDescent="0.2">
      <c r="A76" s="20" t="s">
        <v>113</v>
      </c>
      <c r="B76" s="303">
        <f>B14/B10</f>
        <v>-1.5051340572950428E-2</v>
      </c>
      <c r="C76" s="304">
        <f t="shared" ref="C76:H76" si="26">C14/C10</f>
        <v>-3.6963042100404846E-2</v>
      </c>
      <c r="D76" s="305">
        <f t="shared" si="26"/>
        <v>-2.4138991006560664E-2</v>
      </c>
      <c r="E76" s="303">
        <f t="shared" si="26"/>
        <v>-7.4500920958085739E-3</v>
      </c>
      <c r="F76" s="303" t="e">
        <f t="shared" si="26"/>
        <v>#DIV/0!</v>
      </c>
      <c r="G76" s="303" t="e">
        <f t="shared" si="26"/>
        <v>#DIV/0!</v>
      </c>
      <c r="H76" s="303" t="e">
        <f t="shared" si="26"/>
        <v>#DIV/0!</v>
      </c>
    </row>
    <row r="77" spans="1:8" x14ac:dyDescent="0.2">
      <c r="A77" s="20" t="s">
        <v>114</v>
      </c>
      <c r="B77" s="303">
        <f>B10/B34</f>
        <v>1.4899615241992821</v>
      </c>
      <c r="C77" s="304">
        <f t="shared" ref="C77:H77" si="27">C10/C34</f>
        <v>1.4304419307753178</v>
      </c>
      <c r="D77" s="305">
        <f t="shared" si="27"/>
        <v>2.9447679853657935</v>
      </c>
      <c r="E77" s="303">
        <f t="shared" si="27"/>
        <v>3.0176356283195451</v>
      </c>
      <c r="F77" s="303" t="e">
        <f t="shared" si="27"/>
        <v>#DIV/0!</v>
      </c>
      <c r="G77" s="303" t="e">
        <f t="shared" si="27"/>
        <v>#DIV/0!</v>
      </c>
      <c r="H77" s="303" t="e">
        <f t="shared" si="27"/>
        <v>#DIV/0!</v>
      </c>
    </row>
    <row r="78" spans="1:8" x14ac:dyDescent="0.2">
      <c r="A78" s="20" t="s">
        <v>115</v>
      </c>
      <c r="B78" s="294">
        <f>B34/B39</f>
        <v>4.4311790953297416</v>
      </c>
      <c r="C78" s="295">
        <f t="shared" ref="C78:H78" si="28">C34/C39</f>
        <v>3.8429808637849603</v>
      </c>
      <c r="D78" s="296">
        <f t="shared" si="28"/>
        <v>4.1397337391798974</v>
      </c>
      <c r="E78" s="294">
        <f t="shared" si="28"/>
        <v>3.2923277217811013</v>
      </c>
      <c r="F78" s="294" t="e">
        <f t="shared" si="28"/>
        <v>#DIV/0!</v>
      </c>
      <c r="G78" s="294" t="e">
        <f t="shared" si="28"/>
        <v>#DIV/0!</v>
      </c>
      <c r="H78" s="294" t="e">
        <f t="shared" si="28"/>
        <v>#DIV/0!</v>
      </c>
    </row>
    <row r="79" spans="1:8" x14ac:dyDescent="0.2">
      <c r="A79" s="20" t="s">
        <v>45</v>
      </c>
      <c r="B79" s="303">
        <f>B14/B39</f>
        <v>-9.9373260547610018E-2</v>
      </c>
      <c r="C79" s="304">
        <f>C14/C39</f>
        <v>-0.2031917922457642</v>
      </c>
      <c r="D79" s="305">
        <f>D14/D39</f>
        <v>-0.29426770675704134</v>
      </c>
      <c r="E79" s="303">
        <f>E14/E39</f>
        <v>-7.4017003454505639E-2</v>
      </c>
      <c r="F79" s="303" t="e">
        <f>F14/F39</f>
        <v>#DIV/0!</v>
      </c>
      <c r="G79" s="303" t="e">
        <f t="shared" ref="G79:H79" si="29">G14/G39</f>
        <v>#DIV/0!</v>
      </c>
      <c r="H79" s="303" t="e">
        <f t="shared" si="29"/>
        <v>#DIV/0!</v>
      </c>
    </row>
    <row r="80" spans="1:8" x14ac:dyDescent="0.2">
      <c r="A80" s="20" t="s">
        <v>44</v>
      </c>
      <c r="B80" s="303">
        <f>B14/B34</f>
        <v>-2.2425918341315715E-2</v>
      </c>
      <c r="C80" s="304">
        <f>C14/C34</f>
        <v>-5.2873485309432471E-2</v>
      </c>
      <c r="D80" s="305">
        <f>D14/D34</f>
        <v>-7.1083727915152647E-2</v>
      </c>
      <c r="E80" s="303">
        <f>E14/E34</f>
        <v>-2.2481663342573784E-2</v>
      </c>
      <c r="F80" s="303" t="e">
        <f>F14/F34</f>
        <v>#DIV/0!</v>
      </c>
      <c r="G80" s="303" t="e">
        <f t="shared" ref="G80:H80" si="30">G14/G34</f>
        <v>#DIV/0!</v>
      </c>
      <c r="H80" s="303" t="e">
        <f t="shared" si="30"/>
        <v>#DIV/0!</v>
      </c>
    </row>
    <row r="81" spans="1:8" x14ac:dyDescent="0.2">
      <c r="A81" s="20" t="s">
        <v>349</v>
      </c>
      <c r="B81" s="303">
        <f t="shared" ref="B81:C81" si="31">B14/(B34-B45-B46)</f>
        <v>-2.2999294320702954E-2</v>
      </c>
      <c r="C81" s="304">
        <f t="shared" si="31"/>
        <v>-5.4281128436415346E-2</v>
      </c>
      <c r="D81" s="305">
        <f>D14/(D34-D45-D46)</f>
        <v>-7.2940614263942355E-2</v>
      </c>
      <c r="E81" s="303">
        <f t="shared" ref="E81:H81" si="32">E14/(E34-E45-E46)</f>
        <v>-2.4665045089950165E-2</v>
      </c>
      <c r="F81" s="303" t="e">
        <f t="shared" si="32"/>
        <v>#DIV/0!</v>
      </c>
      <c r="G81" s="303" t="e">
        <f t="shared" si="32"/>
        <v>#DIV/0!</v>
      </c>
      <c r="H81" s="303" t="e">
        <f t="shared" si="32"/>
        <v>#DIV/0!</v>
      </c>
    </row>
    <row r="82" spans="1:8" x14ac:dyDescent="0.2">
      <c r="A82" s="20" t="s">
        <v>43</v>
      </c>
      <c r="B82" s="303">
        <f>B37/B34</f>
        <v>0.14801665831562211</v>
      </c>
      <c r="C82" s="304">
        <f>C37/C34</f>
        <v>0.14044889801039728</v>
      </c>
      <c r="D82" s="305">
        <f>D37/D34</f>
        <v>0.14861554816258216</v>
      </c>
      <c r="E82" s="303">
        <f>E37/E34</f>
        <v>0.15022835477453614</v>
      </c>
      <c r="F82" s="303" t="e">
        <f>F37/F34</f>
        <v>#DIV/0!</v>
      </c>
      <c r="G82" s="303" t="e">
        <f t="shared" ref="G82:H82" si="33">G37/G34</f>
        <v>#DIV/0!</v>
      </c>
      <c r="H82" s="303" t="e">
        <f t="shared" si="33"/>
        <v>#DIV/0!</v>
      </c>
    </row>
    <row r="85" spans="1:8" x14ac:dyDescent="0.2">
      <c r="A85" s="243" t="s">
        <v>399</v>
      </c>
    </row>
    <row r="86" spans="1:8" x14ac:dyDescent="0.2">
      <c r="A86" s="243" t="s">
        <v>398</v>
      </c>
    </row>
  </sheetData>
  <pageMargins left="0.7" right="0.7" top="0.75" bottom="0.75" header="0.3" footer="0.3"/>
  <pageSetup paperSize="9" scale="65" orientation="portrait" r:id="rId1"/>
  <colBreaks count="1" manualBreakCount="1">
    <brk id="8"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7"/>
  <sheetViews>
    <sheetView topLeftCell="E1" zoomScaleNormal="100" workbookViewId="0">
      <selection activeCell="K32" sqref="K32"/>
    </sheetView>
  </sheetViews>
  <sheetFormatPr defaultRowHeight="14.25" outlineLevelRow="1" outlineLevelCol="1" x14ac:dyDescent="0.2"/>
  <cols>
    <col min="1" max="3" width="9.140625" style="1"/>
    <col min="4" max="4" width="16.7109375" style="1" customWidth="1"/>
    <col min="5" max="5" width="26.28515625" style="1" customWidth="1"/>
    <col min="6" max="10" width="9.5703125" style="1" customWidth="1"/>
    <col min="11" max="12" width="11.7109375" style="1" customWidth="1" outlineLevel="1"/>
    <col min="13" max="17" width="11.7109375" style="1" customWidth="1"/>
    <col min="18" max="18" width="27.7109375" style="1" customWidth="1"/>
    <col min="19" max="21" width="17.42578125" style="1" customWidth="1"/>
    <col min="22" max="22" width="11" style="1" customWidth="1"/>
    <col min="23" max="23" width="11.7109375" style="1" customWidth="1"/>
    <col min="24" max="16384" width="9.140625" style="1"/>
  </cols>
  <sheetData>
    <row r="1" spans="1:17" s="12" customFormat="1" x14ac:dyDescent="0.2">
      <c r="A1" s="329" t="str">
        <f>Cover!A4</f>
        <v>Saras Group</v>
      </c>
      <c r="B1" s="329"/>
      <c r="C1" s="329"/>
      <c r="D1" s="329"/>
      <c r="E1" s="13" t="str">
        <f>Cover!A2</f>
        <v>Daniel Dunai</v>
      </c>
      <c r="F1" s="13" t="str">
        <f>Cover!A15</f>
        <v>EUR</v>
      </c>
      <c r="I1" s="328">
        <f>Cover!A13</f>
        <v>41928</v>
      </c>
      <c r="J1" s="328"/>
    </row>
    <row r="3" spans="1:17" s="20" customFormat="1" ht="15" x14ac:dyDescent="0.25">
      <c r="I3" s="81"/>
      <c r="J3"/>
    </row>
    <row r="4" spans="1:17" s="20" customFormat="1" ht="10.5" customHeight="1" x14ac:dyDescent="0.2"/>
    <row r="5" spans="1:17" ht="15" customHeight="1" x14ac:dyDescent="0.25">
      <c r="F5" s="331" t="s">
        <v>79</v>
      </c>
      <c r="G5" s="331"/>
      <c r="H5" s="331"/>
      <c r="I5" s="331"/>
      <c r="J5" s="332"/>
      <c r="K5" s="68"/>
      <c r="M5" s="68" t="s">
        <v>3</v>
      </c>
    </row>
    <row r="6" spans="1:17" x14ac:dyDescent="0.2">
      <c r="F6" s="18"/>
      <c r="G6" s="19"/>
      <c r="H6" s="19"/>
      <c r="I6" s="19"/>
      <c r="J6" s="47"/>
      <c r="K6" s="259" t="str">
        <f>Cover!A8</f>
        <v>H1 2014</v>
      </c>
      <c r="L6" s="256" t="str">
        <f>Cover!B8</f>
        <v>H1 2013</v>
      </c>
      <c r="M6" s="256" t="str">
        <f>Cover!C8</f>
        <v>12/31/2013</v>
      </c>
      <c r="N6" s="256" t="str">
        <f>Cover!D8</f>
        <v>12/31/2012</v>
      </c>
      <c r="O6" s="256">
        <f>Cover!E8</f>
        <v>0</v>
      </c>
      <c r="P6" s="256">
        <f>Cover!F8</f>
        <v>0</v>
      </c>
      <c r="Q6" s="256">
        <f>Cover!G8</f>
        <v>0</v>
      </c>
    </row>
    <row r="7" spans="1:17" x14ac:dyDescent="0.2">
      <c r="K7" s="27"/>
    </row>
    <row r="8" spans="1:17" x14ac:dyDescent="0.2">
      <c r="D8" s="5" t="s">
        <v>39</v>
      </c>
      <c r="E8" s="5" t="s">
        <v>100</v>
      </c>
      <c r="F8" s="48">
        <f t="shared" ref="F8:H8" si="0">G8*(1+CHOOSE($S$56,$S$44,$T$44,$U$44))</f>
        <v>0.5028080225567827</v>
      </c>
      <c r="G8" s="48">
        <f t="shared" si="0"/>
        <v>1.6196181139006962</v>
      </c>
      <c r="H8" s="48">
        <f t="shared" si="0"/>
        <v>5.2170266129335916</v>
      </c>
      <c r="I8" s="48">
        <f>J8*(1+CHOOSE($S$56,$S$44,$T$44,$U$44))</f>
        <v>16.804805062661902</v>
      </c>
      <c r="J8" s="48">
        <f>M8*(1+CHOOSE($S$56,$S44,$T44,$U44))</f>
        <v>54.130732723111343</v>
      </c>
      <c r="K8" s="29">
        <f>'2. FFO calculator'!F19</f>
        <v>13.148999999999999</v>
      </c>
      <c r="L8" s="24">
        <f>'2. FFO calculator'!G19</f>
        <v>66.369</v>
      </c>
      <c r="M8" s="24">
        <f>'2. FFO calculator'!H19</f>
        <v>174.363</v>
      </c>
      <c r="N8" s="24">
        <f>'2. FFO calculator'!I19</f>
        <v>494.52199999999999</v>
      </c>
      <c r="O8" s="24">
        <f>'2. FFO calculator'!J19</f>
        <v>0</v>
      </c>
      <c r="P8" s="24">
        <f>'2. FFO calculator'!K19</f>
        <v>0</v>
      </c>
      <c r="Q8" s="24">
        <f>'2. FFO calculator'!L19</f>
        <v>0</v>
      </c>
    </row>
    <row r="9" spans="1:17" s="69" customFormat="1" ht="10.5" customHeight="1" outlineLevel="1" x14ac:dyDescent="0.2">
      <c r="E9" s="25" t="s">
        <v>88</v>
      </c>
      <c r="F9" s="50">
        <f t="shared" ref="F9:H9" si="1">G9*(1+$W44)</f>
        <v>174.363</v>
      </c>
      <c r="G9" s="50">
        <f t="shared" si="1"/>
        <v>174.363</v>
      </c>
      <c r="H9" s="50">
        <f t="shared" si="1"/>
        <v>174.363</v>
      </c>
      <c r="I9" s="50">
        <f>J9*(1+$W44)</f>
        <v>174.363</v>
      </c>
      <c r="J9" s="50">
        <f>M9*(1+$W44)</f>
        <v>174.363</v>
      </c>
      <c r="K9" s="51">
        <f>K8</f>
        <v>13.148999999999999</v>
      </c>
      <c r="L9" s="52">
        <f t="shared" ref="L9:Q10" si="2">L8</f>
        <v>66.369</v>
      </c>
      <c r="M9" s="52">
        <f t="shared" si="2"/>
        <v>174.363</v>
      </c>
      <c r="N9" s="52">
        <f t="shared" si="2"/>
        <v>494.52199999999999</v>
      </c>
      <c r="O9" s="52">
        <f t="shared" si="2"/>
        <v>0</v>
      </c>
      <c r="P9" s="52">
        <f t="shared" si="2"/>
        <v>0</v>
      </c>
      <c r="Q9" s="52">
        <f t="shared" si="2"/>
        <v>0</v>
      </c>
    </row>
    <row r="10" spans="1:17" s="69" customFormat="1" ht="10.5" customHeight="1" outlineLevel="1" x14ac:dyDescent="0.2">
      <c r="E10" s="25" t="s">
        <v>89</v>
      </c>
      <c r="F10" s="50">
        <f t="shared" ref="F10:I10" si="3">G10*(1+$V44)</f>
        <v>174.363</v>
      </c>
      <c r="G10" s="50">
        <f t="shared" si="3"/>
        <v>174.363</v>
      </c>
      <c r="H10" s="50">
        <f t="shared" si="3"/>
        <v>174.363</v>
      </c>
      <c r="I10" s="50">
        <f t="shared" si="3"/>
        <v>174.363</v>
      </c>
      <c r="J10" s="50">
        <f>M10*(1+$V44)</f>
        <v>174.363</v>
      </c>
      <c r="K10" s="51">
        <f>K9</f>
        <v>13.148999999999999</v>
      </c>
      <c r="L10" s="52">
        <f t="shared" si="2"/>
        <v>66.369</v>
      </c>
      <c r="M10" s="52">
        <f t="shared" si="2"/>
        <v>174.363</v>
      </c>
      <c r="N10" s="52">
        <f t="shared" si="2"/>
        <v>494.52199999999999</v>
      </c>
      <c r="O10" s="52">
        <f t="shared" si="2"/>
        <v>0</v>
      </c>
      <c r="P10" s="52">
        <f t="shared" si="2"/>
        <v>0</v>
      </c>
      <c r="Q10" s="52">
        <f t="shared" si="2"/>
        <v>0</v>
      </c>
    </row>
    <row r="11" spans="1:17" x14ac:dyDescent="0.2">
      <c r="E11" s="5" t="s">
        <v>40</v>
      </c>
      <c r="F11" s="48">
        <f t="shared" ref="F11:I11" si="4">G11*(1+CHOOSE($S$56,$S$45,$T$45,$U$45))</f>
        <v>1461.2981514230203</v>
      </c>
      <c r="G11" s="48">
        <f t="shared" si="4"/>
        <v>1182.3961759690646</v>
      </c>
      <c r="H11" s="48">
        <f t="shared" si="4"/>
        <v>956.72516630834571</v>
      </c>
      <c r="I11" s="48">
        <f t="shared" si="4"/>
        <v>774.12551093338413</v>
      </c>
      <c r="J11" s="48">
        <f>M11*(1+CHOOSE($S$56,$S$45,$T$45,$U$45))</f>
        <v>626.37665212700438</v>
      </c>
      <c r="K11" s="29">
        <f>'3. Financials (Foreign)'!B32</f>
        <v>450.77699999999999</v>
      </c>
      <c r="L11" s="24">
        <f>'3. Financials (Foreign)'!C32</f>
        <v>322.24900000000002</v>
      </c>
      <c r="M11" s="24">
        <f>'3. Financials (Foreign)'!G32</f>
        <v>506.827</v>
      </c>
      <c r="N11" s="24">
        <f>'3. Financials (Foreign)'!H32</f>
        <v>302.95</v>
      </c>
      <c r="O11" s="24">
        <f>'3. Financials (Foreign)'!I32</f>
        <v>0</v>
      </c>
      <c r="P11" s="24">
        <f>'3. Financials (Foreign)'!L32</f>
        <v>0</v>
      </c>
      <c r="Q11" s="24">
        <f>'3. Financials (Foreign)'!M32</f>
        <v>0</v>
      </c>
    </row>
    <row r="12" spans="1:17" s="69" customFormat="1" ht="10.5" customHeight="1" outlineLevel="1" x14ac:dyDescent="0.2">
      <c r="E12" s="25" t="s">
        <v>88</v>
      </c>
      <c r="F12" s="50">
        <f t="shared" ref="F12:I12" si="5">G12*(1+$W45)</f>
        <v>506.827</v>
      </c>
      <c r="G12" s="50">
        <f t="shared" si="5"/>
        <v>506.827</v>
      </c>
      <c r="H12" s="50">
        <f t="shared" si="5"/>
        <v>506.827</v>
      </c>
      <c r="I12" s="50">
        <f t="shared" si="5"/>
        <v>506.827</v>
      </c>
      <c r="J12" s="50">
        <f>M12*(1+$W45)</f>
        <v>506.827</v>
      </c>
      <c r="K12" s="51">
        <f>K11</f>
        <v>450.77699999999999</v>
      </c>
      <c r="L12" s="52">
        <f t="shared" ref="L12:Q13" si="6">L11</f>
        <v>322.24900000000002</v>
      </c>
      <c r="M12" s="52">
        <f t="shared" si="6"/>
        <v>506.827</v>
      </c>
      <c r="N12" s="52">
        <f t="shared" si="6"/>
        <v>302.95</v>
      </c>
      <c r="O12" s="52">
        <f t="shared" si="6"/>
        <v>0</v>
      </c>
      <c r="P12" s="52">
        <f t="shared" si="6"/>
        <v>0</v>
      </c>
      <c r="Q12" s="52">
        <f t="shared" si="6"/>
        <v>0</v>
      </c>
    </row>
    <row r="13" spans="1:17" s="69" customFormat="1" ht="10.5" customHeight="1" outlineLevel="1" x14ac:dyDescent="0.2">
      <c r="E13" s="25" t="s">
        <v>89</v>
      </c>
      <c r="F13" s="50">
        <f t="shared" ref="F13:I13" si="7">G13*(1+$V45)</f>
        <v>506.827</v>
      </c>
      <c r="G13" s="50">
        <f t="shared" si="7"/>
        <v>506.827</v>
      </c>
      <c r="H13" s="50">
        <f t="shared" si="7"/>
        <v>506.827</v>
      </c>
      <c r="I13" s="50">
        <f t="shared" si="7"/>
        <v>506.827</v>
      </c>
      <c r="J13" s="50">
        <f>M13*(1+$V45)</f>
        <v>506.827</v>
      </c>
      <c r="K13" s="51">
        <f>K12</f>
        <v>450.77699999999999</v>
      </c>
      <c r="L13" s="52">
        <f t="shared" si="6"/>
        <v>322.24900000000002</v>
      </c>
      <c r="M13" s="52">
        <f t="shared" si="6"/>
        <v>506.827</v>
      </c>
      <c r="N13" s="52">
        <f t="shared" si="6"/>
        <v>302.95</v>
      </c>
      <c r="O13" s="52">
        <f t="shared" si="6"/>
        <v>0</v>
      </c>
      <c r="P13" s="52">
        <f t="shared" si="6"/>
        <v>0</v>
      </c>
      <c r="Q13" s="52">
        <f t="shared" si="6"/>
        <v>0</v>
      </c>
    </row>
    <row r="14" spans="1:17" s="20" customFormat="1" x14ac:dyDescent="0.2">
      <c r="E14" s="21" t="s">
        <v>80</v>
      </c>
      <c r="F14" s="48">
        <f t="shared" ref="F14:I14" si="8">G14*(1+CHOOSE($S$56,$S$46,$T$46,$U$46))</f>
        <v>4585.8221926569458</v>
      </c>
      <c r="G14" s="48">
        <f t="shared" si="8"/>
        <v>2312.0762079175947</v>
      </c>
      <c r="H14" s="48">
        <f t="shared" si="8"/>
        <v>1165.70075476943</v>
      </c>
      <c r="I14" s="48">
        <f t="shared" si="8"/>
        <v>587.7220850319178</v>
      </c>
      <c r="J14" s="48">
        <f>M14*(1+CHOOSE($S$56,$S$46,$T$46,$U$46))</f>
        <v>296.31725622635179</v>
      </c>
      <c r="K14" s="29">
        <f>'2. FFO calculator'!F18</f>
        <v>0</v>
      </c>
      <c r="L14" s="24">
        <f>'2. FFO calculator'!G18</f>
        <v>58.139000000000003</v>
      </c>
      <c r="M14" s="24">
        <f>'2. FFO calculator'!H18</f>
        <v>149.39699999999999</v>
      </c>
      <c r="N14" s="24">
        <f>'2. FFO calculator'!I18</f>
        <v>41.758000000000003</v>
      </c>
      <c r="O14" s="24">
        <f>'2. FFO calculator'!J18</f>
        <v>0</v>
      </c>
      <c r="P14" s="24">
        <f>'2. FFO calculator'!K18</f>
        <v>0</v>
      </c>
      <c r="Q14" s="24">
        <f>'2. FFO calculator'!L18</f>
        <v>0</v>
      </c>
    </row>
    <row r="15" spans="1:17" s="69" customFormat="1" ht="10.5" customHeight="1" outlineLevel="1" x14ac:dyDescent="0.2">
      <c r="E15" s="25" t="s">
        <v>88</v>
      </c>
      <c r="F15" s="50">
        <f t="shared" ref="F15:I15" si="9">G15*(1+$W46)</f>
        <v>149.39699999999999</v>
      </c>
      <c r="G15" s="50">
        <f t="shared" si="9"/>
        <v>149.39699999999999</v>
      </c>
      <c r="H15" s="50">
        <f t="shared" si="9"/>
        <v>149.39699999999999</v>
      </c>
      <c r="I15" s="50">
        <f t="shared" si="9"/>
        <v>149.39699999999999</v>
      </c>
      <c r="J15" s="50">
        <f>M15*(1+$W46)</f>
        <v>149.39699999999999</v>
      </c>
      <c r="K15" s="51">
        <f>K14</f>
        <v>0</v>
      </c>
      <c r="L15" s="52">
        <f t="shared" ref="L15:Q16" si="10">L14</f>
        <v>58.139000000000003</v>
      </c>
      <c r="M15" s="52">
        <f t="shared" si="10"/>
        <v>149.39699999999999</v>
      </c>
      <c r="N15" s="52">
        <f t="shared" si="10"/>
        <v>41.758000000000003</v>
      </c>
      <c r="O15" s="52">
        <f t="shared" si="10"/>
        <v>0</v>
      </c>
      <c r="P15" s="52">
        <f t="shared" si="10"/>
        <v>0</v>
      </c>
      <c r="Q15" s="52">
        <f t="shared" si="10"/>
        <v>0</v>
      </c>
    </row>
    <row r="16" spans="1:17" s="69" customFormat="1" ht="10.5" customHeight="1" outlineLevel="1" x14ac:dyDescent="0.2">
      <c r="E16" s="25" t="s">
        <v>89</v>
      </c>
      <c r="F16" s="50">
        <f t="shared" ref="F16:I16" si="11">G16*(1+$V46)</f>
        <v>149.39699999999999</v>
      </c>
      <c r="G16" s="50">
        <f t="shared" si="11"/>
        <v>149.39699999999999</v>
      </c>
      <c r="H16" s="50">
        <f t="shared" si="11"/>
        <v>149.39699999999999</v>
      </c>
      <c r="I16" s="50">
        <f t="shared" si="11"/>
        <v>149.39699999999999</v>
      </c>
      <c r="J16" s="50">
        <f>M16*(1+$V46)</f>
        <v>149.39699999999999</v>
      </c>
      <c r="K16" s="51">
        <f>K15</f>
        <v>0</v>
      </c>
      <c r="L16" s="52">
        <f t="shared" si="10"/>
        <v>58.139000000000003</v>
      </c>
      <c r="M16" s="52">
        <f t="shared" si="10"/>
        <v>149.39699999999999</v>
      </c>
      <c r="N16" s="52">
        <f t="shared" si="10"/>
        <v>41.758000000000003</v>
      </c>
      <c r="O16" s="52">
        <f t="shared" si="10"/>
        <v>0</v>
      </c>
      <c r="P16" s="52">
        <f t="shared" si="10"/>
        <v>0</v>
      </c>
      <c r="Q16" s="52">
        <f t="shared" si="10"/>
        <v>0</v>
      </c>
    </row>
    <row r="17" spans="4:17" x14ac:dyDescent="0.2">
      <c r="E17" s="5" t="s">
        <v>41</v>
      </c>
      <c r="F17" s="48" t="e">
        <f t="shared" ref="F17:I17" si="12">G17*(1+CHOOSE($S$56,$S$47,$T$47,$U$47))</f>
        <v>#DIV/0!</v>
      </c>
      <c r="G17" s="48" t="e">
        <f t="shared" si="12"/>
        <v>#DIV/0!</v>
      </c>
      <c r="H17" s="48" t="e">
        <f t="shared" si="12"/>
        <v>#DIV/0!</v>
      </c>
      <c r="I17" s="48" t="e">
        <f t="shared" si="12"/>
        <v>#DIV/0!</v>
      </c>
      <c r="J17" s="48" t="e">
        <f>M17*(1+CHOOSE($S$56,$S$47,$T$47,$U$47))</f>
        <v>#DIV/0!</v>
      </c>
      <c r="K17" s="43"/>
      <c r="L17" s="23"/>
      <c r="M17" s="23"/>
      <c r="N17" s="23"/>
      <c r="O17" s="23"/>
      <c r="P17" s="23"/>
      <c r="Q17" s="23"/>
    </row>
    <row r="18" spans="4:17" s="69" customFormat="1" ht="10.5" customHeight="1" outlineLevel="1" x14ac:dyDescent="0.2">
      <c r="E18" s="25" t="s">
        <v>88</v>
      </c>
      <c r="F18" s="50">
        <f t="shared" ref="F18:I18" si="13">G18*(1+$W47)</f>
        <v>0</v>
      </c>
      <c r="G18" s="50">
        <f t="shared" si="13"/>
        <v>0</v>
      </c>
      <c r="H18" s="50">
        <f t="shared" si="13"/>
        <v>0</v>
      </c>
      <c r="I18" s="50">
        <f t="shared" si="13"/>
        <v>0</v>
      </c>
      <c r="J18" s="50">
        <f>M18*(1+$W47)</f>
        <v>0</v>
      </c>
      <c r="K18" s="240">
        <f>K17</f>
        <v>0</v>
      </c>
      <c r="L18" s="74">
        <f t="shared" ref="L18:Q19" si="14">L17</f>
        <v>0</v>
      </c>
      <c r="M18" s="74">
        <f t="shared" si="14"/>
        <v>0</v>
      </c>
      <c r="N18" s="74">
        <f t="shared" si="14"/>
        <v>0</v>
      </c>
      <c r="O18" s="74">
        <f t="shared" si="14"/>
        <v>0</v>
      </c>
      <c r="P18" s="74">
        <f t="shared" si="14"/>
        <v>0</v>
      </c>
      <c r="Q18" s="74">
        <f t="shared" si="14"/>
        <v>0</v>
      </c>
    </row>
    <row r="19" spans="4:17" s="69" customFormat="1" ht="10.5" customHeight="1" outlineLevel="1" x14ac:dyDescent="0.2">
      <c r="E19" s="25" t="s">
        <v>89</v>
      </c>
      <c r="F19" s="50">
        <f t="shared" ref="F19:I19" si="15">G19*(1+$V47)</f>
        <v>0</v>
      </c>
      <c r="G19" s="50">
        <f t="shared" si="15"/>
        <v>0</v>
      </c>
      <c r="H19" s="50">
        <f t="shared" si="15"/>
        <v>0</v>
      </c>
      <c r="I19" s="50">
        <f t="shared" si="15"/>
        <v>0</v>
      </c>
      <c r="J19" s="50">
        <f>M19*(1+$V47)</f>
        <v>0</v>
      </c>
      <c r="K19" s="240">
        <f>K18</f>
        <v>0</v>
      </c>
      <c r="L19" s="74">
        <f t="shared" si="14"/>
        <v>0</v>
      </c>
      <c r="M19" s="74">
        <f t="shared" si="14"/>
        <v>0</v>
      </c>
      <c r="N19" s="74">
        <f t="shared" si="14"/>
        <v>0</v>
      </c>
      <c r="O19" s="74">
        <f t="shared" si="14"/>
        <v>0</v>
      </c>
      <c r="P19" s="74">
        <f t="shared" si="14"/>
        <v>0</v>
      </c>
      <c r="Q19" s="74">
        <f t="shared" si="14"/>
        <v>0</v>
      </c>
    </row>
    <row r="20" spans="4:17" s="20" customFormat="1" x14ac:dyDescent="0.2">
      <c r="E20" s="21" t="s">
        <v>81</v>
      </c>
      <c r="F20" s="23"/>
      <c r="G20" s="43"/>
      <c r="H20" s="43"/>
      <c r="I20" s="43"/>
      <c r="J20" s="63"/>
      <c r="K20" s="43"/>
      <c r="L20" s="23"/>
      <c r="M20" s="23"/>
      <c r="N20" s="23"/>
      <c r="O20" s="23"/>
      <c r="P20" s="23"/>
      <c r="Q20" s="23"/>
    </row>
    <row r="21" spans="4:17" s="69" customFormat="1" ht="10.5" customHeight="1" outlineLevel="1" x14ac:dyDescent="0.2">
      <c r="E21" s="25" t="s">
        <v>88</v>
      </c>
      <c r="F21" s="65"/>
      <c r="G21" s="65"/>
      <c r="H21" s="65"/>
      <c r="I21" s="65"/>
      <c r="J21" s="66"/>
      <c r="K21" s="70">
        <f>K20</f>
        <v>0</v>
      </c>
      <c r="L21" s="71">
        <f t="shared" ref="L21:Q22" si="16">L20</f>
        <v>0</v>
      </c>
      <c r="M21" s="71">
        <f t="shared" si="16"/>
        <v>0</v>
      </c>
      <c r="N21" s="71">
        <f t="shared" si="16"/>
        <v>0</v>
      </c>
      <c r="O21" s="71">
        <f t="shared" si="16"/>
        <v>0</v>
      </c>
      <c r="P21" s="71">
        <f t="shared" si="16"/>
        <v>0</v>
      </c>
      <c r="Q21" s="71">
        <f t="shared" si="16"/>
        <v>0</v>
      </c>
    </row>
    <row r="22" spans="4:17" s="69" customFormat="1" ht="10.5" customHeight="1" outlineLevel="1" x14ac:dyDescent="0.2">
      <c r="E22" s="25" t="s">
        <v>89</v>
      </c>
      <c r="F22" s="65"/>
      <c r="G22" s="65"/>
      <c r="H22" s="65"/>
      <c r="I22" s="65"/>
      <c r="J22" s="66"/>
      <c r="K22" s="51">
        <f>K21</f>
        <v>0</v>
      </c>
      <c r="L22" s="52">
        <f t="shared" si="16"/>
        <v>0</v>
      </c>
      <c r="M22" s="52">
        <f t="shared" si="16"/>
        <v>0</v>
      </c>
      <c r="N22" s="52">
        <f t="shared" si="16"/>
        <v>0</v>
      </c>
      <c r="O22" s="52">
        <f t="shared" si="16"/>
        <v>0</v>
      </c>
      <c r="P22" s="52">
        <f t="shared" si="16"/>
        <v>0</v>
      </c>
      <c r="Q22" s="52">
        <f t="shared" si="16"/>
        <v>0</v>
      </c>
    </row>
    <row r="23" spans="4:17" x14ac:dyDescent="0.2">
      <c r="F23" s="24"/>
      <c r="G23" s="24"/>
      <c r="H23" s="24"/>
      <c r="I23" s="24"/>
      <c r="J23" s="24"/>
      <c r="K23" s="27"/>
    </row>
    <row r="24" spans="4:17" x14ac:dyDescent="0.2">
      <c r="D24" s="5" t="s">
        <v>82</v>
      </c>
      <c r="E24" s="5" t="s">
        <v>42</v>
      </c>
      <c r="F24" s="48">
        <f t="shared" ref="F24:I24" si="17">G24*(1+CHOOSE($S$56,$S$50,$T$50,$U$50))</f>
        <v>-21.71694509965123</v>
      </c>
      <c r="G24" s="48">
        <f t="shared" si="17"/>
        <v>-29.97968143362095</v>
      </c>
      <c r="H24" s="48">
        <f t="shared" si="17"/>
        <v>-41.386175391484088</v>
      </c>
      <c r="I24" s="48">
        <f t="shared" si="17"/>
        <v>-57.132545498426566</v>
      </c>
      <c r="J24" s="48">
        <f>M24*(1+CHOOSE($S$56,$S$50,$T$50,$U$50))</f>
        <v>-78.87000246467403</v>
      </c>
      <c r="K24" s="29">
        <f>'3. Financials (Foreign)'!B20</f>
        <v>-39.835999999999999</v>
      </c>
      <c r="L24" s="24">
        <f>'3. Financials (Foreign)'!C20</f>
        <v>-63.174999999999997</v>
      </c>
      <c r="M24" s="24">
        <f>'3. Financials (Foreign)'!G20</f>
        <v>-108.878</v>
      </c>
      <c r="N24" s="24">
        <f>'3. Financials (Foreign)'!H20</f>
        <v>-113.13600000000001</v>
      </c>
      <c r="O24" s="24">
        <f>'3. Financials (Foreign)'!I20</f>
        <v>0</v>
      </c>
      <c r="P24" s="24">
        <f>'3. Financials (Foreign)'!L20</f>
        <v>0</v>
      </c>
      <c r="Q24" s="24">
        <f>'3. Financials (Foreign)'!M20</f>
        <v>0</v>
      </c>
    </row>
    <row r="25" spans="4:17" s="69" customFormat="1" ht="10.5" customHeight="1" outlineLevel="1" x14ac:dyDescent="0.2">
      <c r="E25" s="25" t="s">
        <v>88</v>
      </c>
      <c r="F25" s="50">
        <f t="shared" ref="F25:I25" si="18">G25*(1+$W50)</f>
        <v>-108.878</v>
      </c>
      <c r="G25" s="50">
        <f t="shared" si="18"/>
        <v>-108.878</v>
      </c>
      <c r="H25" s="50">
        <f t="shared" si="18"/>
        <v>-108.878</v>
      </c>
      <c r="I25" s="50">
        <f t="shared" si="18"/>
        <v>-108.878</v>
      </c>
      <c r="J25" s="50">
        <f>M25*(1+$W50)</f>
        <v>-108.878</v>
      </c>
      <c r="K25" s="51">
        <f>K24</f>
        <v>-39.835999999999999</v>
      </c>
      <c r="L25" s="52">
        <f t="shared" ref="L25:Q26" si="19">L24</f>
        <v>-63.174999999999997</v>
      </c>
      <c r="M25" s="52">
        <f t="shared" si="19"/>
        <v>-108.878</v>
      </c>
      <c r="N25" s="52">
        <f t="shared" si="19"/>
        <v>-113.13600000000001</v>
      </c>
      <c r="O25" s="52">
        <f t="shared" si="19"/>
        <v>0</v>
      </c>
      <c r="P25" s="52">
        <f t="shared" si="19"/>
        <v>0</v>
      </c>
      <c r="Q25" s="52">
        <f t="shared" si="19"/>
        <v>0</v>
      </c>
    </row>
    <row r="26" spans="4:17" s="69" customFormat="1" ht="10.5" customHeight="1" outlineLevel="1" x14ac:dyDescent="0.2">
      <c r="E26" s="25" t="s">
        <v>89</v>
      </c>
      <c r="F26" s="50">
        <f t="shared" ref="F26:I26" si="20">G26*(1+$V50)</f>
        <v>-108.878</v>
      </c>
      <c r="G26" s="50">
        <f t="shared" si="20"/>
        <v>-108.878</v>
      </c>
      <c r="H26" s="50">
        <f t="shared" si="20"/>
        <v>-108.878</v>
      </c>
      <c r="I26" s="50">
        <f t="shared" si="20"/>
        <v>-108.878</v>
      </c>
      <c r="J26" s="50">
        <f>M26*(1+$V50)</f>
        <v>-108.878</v>
      </c>
      <c r="K26" s="51">
        <f>K25</f>
        <v>-39.835999999999999</v>
      </c>
      <c r="L26" s="52">
        <f t="shared" si="19"/>
        <v>-63.174999999999997</v>
      </c>
      <c r="M26" s="52">
        <f t="shared" si="19"/>
        <v>-108.878</v>
      </c>
      <c r="N26" s="52">
        <f t="shared" si="19"/>
        <v>-113.13600000000001</v>
      </c>
      <c r="O26" s="52">
        <f t="shared" si="19"/>
        <v>0</v>
      </c>
      <c r="P26" s="52">
        <f t="shared" si="19"/>
        <v>0</v>
      </c>
      <c r="Q26" s="52">
        <f t="shared" si="19"/>
        <v>0</v>
      </c>
    </row>
    <row r="27" spans="4:17" ht="10.5" customHeight="1" x14ac:dyDescent="0.2">
      <c r="E27" s="11" t="s">
        <v>83</v>
      </c>
      <c r="F27" s="50" t="e">
        <f t="shared" ref="F27:I27" si="21">G27*(1+CHOOSE($S$56,$S$51,$T$51,$U$51))</f>
        <v>#DIV/0!</v>
      </c>
      <c r="G27" s="50" t="e">
        <f t="shared" si="21"/>
        <v>#DIV/0!</v>
      </c>
      <c r="H27" s="50" t="e">
        <f t="shared" si="21"/>
        <v>#DIV/0!</v>
      </c>
      <c r="I27" s="50" t="e">
        <f t="shared" si="21"/>
        <v>#DIV/0!</v>
      </c>
      <c r="J27" s="50" t="e">
        <f>M27*(1+CHOOSE($S$56,$S$51,$T$51,$U$51))</f>
        <v>#DIV/0!</v>
      </c>
      <c r="K27" s="51">
        <f>'3. Financials (Foreign)'!B21</f>
        <v>0</v>
      </c>
      <c r="L27" s="52">
        <f>'3. Financials (Foreign)'!C21</f>
        <v>0</v>
      </c>
      <c r="M27" s="52">
        <f>'3. Financials (Foreign)'!G21</f>
        <v>0</v>
      </c>
      <c r="N27" s="52">
        <f>'3. Financials (Foreign)'!H21</f>
        <v>0</v>
      </c>
      <c r="O27" s="52">
        <f>'3. Financials (Foreign)'!I21</f>
        <v>0</v>
      </c>
      <c r="P27" s="52">
        <f>'3. Financials (Foreign)'!L21</f>
        <v>0</v>
      </c>
      <c r="Q27" s="52">
        <f>'3. Financials (Foreign)'!M21</f>
        <v>0</v>
      </c>
    </row>
    <row r="28" spans="4:17" s="69" customFormat="1" ht="10.5" customHeight="1" outlineLevel="1" x14ac:dyDescent="0.2">
      <c r="E28" s="25" t="s">
        <v>88</v>
      </c>
      <c r="F28" s="50">
        <f t="shared" ref="F28:I28" si="22">G28*(1+$W51)</f>
        <v>0</v>
      </c>
      <c r="G28" s="50">
        <f t="shared" si="22"/>
        <v>0</v>
      </c>
      <c r="H28" s="50">
        <f t="shared" si="22"/>
        <v>0</v>
      </c>
      <c r="I28" s="50">
        <f t="shared" si="22"/>
        <v>0</v>
      </c>
      <c r="J28" s="50">
        <f>M28*(1+$W51)</f>
        <v>0</v>
      </c>
      <c r="K28" s="51">
        <f>K27</f>
        <v>0</v>
      </c>
      <c r="L28" s="52">
        <f t="shared" ref="L28:Q29" si="23">L27</f>
        <v>0</v>
      </c>
      <c r="M28" s="52">
        <f t="shared" si="23"/>
        <v>0</v>
      </c>
      <c r="N28" s="52">
        <f t="shared" si="23"/>
        <v>0</v>
      </c>
      <c r="O28" s="52">
        <f t="shared" si="23"/>
        <v>0</v>
      </c>
      <c r="P28" s="52">
        <f t="shared" si="23"/>
        <v>0</v>
      </c>
      <c r="Q28" s="52">
        <f t="shared" si="23"/>
        <v>0</v>
      </c>
    </row>
    <row r="29" spans="4:17" s="69" customFormat="1" ht="10.5" customHeight="1" outlineLevel="1" x14ac:dyDescent="0.2">
      <c r="E29" s="25" t="s">
        <v>89</v>
      </c>
      <c r="F29" s="50">
        <f t="shared" ref="F29:I29" si="24">G29*(1+$V51)</f>
        <v>0</v>
      </c>
      <c r="G29" s="50">
        <f t="shared" si="24"/>
        <v>0</v>
      </c>
      <c r="H29" s="50">
        <f t="shared" si="24"/>
        <v>0</v>
      </c>
      <c r="I29" s="50">
        <f t="shared" si="24"/>
        <v>0</v>
      </c>
      <c r="J29" s="50">
        <f>M29*(1+$V51)</f>
        <v>0</v>
      </c>
      <c r="K29" s="51">
        <f>K28</f>
        <v>0</v>
      </c>
      <c r="L29" s="52">
        <f t="shared" si="23"/>
        <v>0</v>
      </c>
      <c r="M29" s="52">
        <f t="shared" si="23"/>
        <v>0</v>
      </c>
      <c r="N29" s="52">
        <f t="shared" si="23"/>
        <v>0</v>
      </c>
      <c r="O29" s="52">
        <f t="shared" si="23"/>
        <v>0</v>
      </c>
      <c r="P29" s="52">
        <f t="shared" si="23"/>
        <v>0</v>
      </c>
      <c r="Q29" s="52">
        <f t="shared" si="23"/>
        <v>0</v>
      </c>
    </row>
    <row r="30" spans="4:17" s="20" customFormat="1" x14ac:dyDescent="0.2">
      <c r="E30" s="21" t="s">
        <v>87</v>
      </c>
      <c r="F30" s="48" t="e">
        <f t="shared" ref="F30:I30" si="25">G30*(1+CHOOSE($S$56,$S$52,$T$52,$U$52))</f>
        <v>#DIV/0!</v>
      </c>
      <c r="G30" s="48" t="e">
        <f t="shared" si="25"/>
        <v>#DIV/0!</v>
      </c>
      <c r="H30" s="48" t="e">
        <f t="shared" si="25"/>
        <v>#DIV/0!</v>
      </c>
      <c r="I30" s="48" t="e">
        <f t="shared" si="25"/>
        <v>#DIV/0!</v>
      </c>
      <c r="J30" s="48" t="e">
        <f>M30*(1+CHOOSE($S$56,$S$52,$T$52,$U$52))</f>
        <v>#DIV/0!</v>
      </c>
      <c r="K30" s="29">
        <f>'3. Financials (Foreign)'!B26</f>
        <v>0</v>
      </c>
      <c r="L30" s="24">
        <f>'3. Financials (Foreign)'!C26</f>
        <v>0</v>
      </c>
      <c r="M30" s="24">
        <f>'3. Financials (Foreign)'!G26</f>
        <v>0</v>
      </c>
      <c r="N30" s="24">
        <f>'3. Financials (Foreign)'!H26</f>
        <v>0</v>
      </c>
      <c r="O30" s="24">
        <f>'3. Financials (Foreign)'!I26</f>
        <v>0</v>
      </c>
      <c r="P30" s="24">
        <f>'3. Financials (Foreign)'!L26</f>
        <v>0</v>
      </c>
      <c r="Q30" s="24">
        <f>'3. Financials (Foreign)'!M26</f>
        <v>0</v>
      </c>
    </row>
    <row r="31" spans="4:17" s="69" customFormat="1" ht="10.5" customHeight="1" outlineLevel="1" x14ac:dyDescent="0.2">
      <c r="E31" s="25" t="s">
        <v>88</v>
      </c>
      <c r="F31" s="50">
        <f t="shared" ref="F31:I31" si="26">G31*(1+$W52)</f>
        <v>0</v>
      </c>
      <c r="G31" s="50">
        <f t="shared" si="26"/>
        <v>0</v>
      </c>
      <c r="H31" s="50">
        <f t="shared" si="26"/>
        <v>0</v>
      </c>
      <c r="I31" s="50">
        <f t="shared" si="26"/>
        <v>0</v>
      </c>
      <c r="J31" s="50">
        <f>M31*(1+$W52)</f>
        <v>0</v>
      </c>
      <c r="K31" s="51">
        <f>K30</f>
        <v>0</v>
      </c>
      <c r="L31" s="52">
        <f t="shared" ref="L31:Q32" si="27">L30</f>
        <v>0</v>
      </c>
      <c r="M31" s="52">
        <f t="shared" si="27"/>
        <v>0</v>
      </c>
      <c r="N31" s="52">
        <f t="shared" si="27"/>
        <v>0</v>
      </c>
      <c r="O31" s="52">
        <f t="shared" si="27"/>
        <v>0</v>
      </c>
      <c r="P31" s="52">
        <f t="shared" si="27"/>
        <v>0</v>
      </c>
      <c r="Q31" s="52">
        <f t="shared" si="27"/>
        <v>0</v>
      </c>
    </row>
    <row r="32" spans="4:17" s="69" customFormat="1" ht="10.5" customHeight="1" outlineLevel="1" x14ac:dyDescent="0.2">
      <c r="E32" s="25" t="s">
        <v>89</v>
      </c>
      <c r="F32" s="50">
        <f t="shared" ref="F32:I32" si="28">G32*(1+$V52)</f>
        <v>0</v>
      </c>
      <c r="G32" s="50">
        <f t="shared" si="28"/>
        <v>0</v>
      </c>
      <c r="H32" s="50">
        <f t="shared" si="28"/>
        <v>0</v>
      </c>
      <c r="I32" s="50">
        <f t="shared" si="28"/>
        <v>0</v>
      </c>
      <c r="J32" s="50">
        <f>M32*(1+$V52)</f>
        <v>0</v>
      </c>
      <c r="K32" s="51">
        <f>K31</f>
        <v>0</v>
      </c>
      <c r="L32" s="52">
        <f t="shared" si="27"/>
        <v>0</v>
      </c>
      <c r="M32" s="52">
        <f t="shared" si="27"/>
        <v>0</v>
      </c>
      <c r="N32" s="52">
        <f t="shared" si="27"/>
        <v>0</v>
      </c>
      <c r="O32" s="52">
        <f t="shared" si="27"/>
        <v>0</v>
      </c>
      <c r="P32" s="52">
        <f t="shared" si="27"/>
        <v>0</v>
      </c>
      <c r="Q32" s="52">
        <f t="shared" si="27"/>
        <v>0</v>
      </c>
    </row>
    <row r="33" spans="4:23" s="20" customFormat="1" x14ac:dyDescent="0.2">
      <c r="E33" s="21" t="s">
        <v>81</v>
      </c>
      <c r="F33" s="22"/>
      <c r="G33" s="22"/>
      <c r="H33" s="22"/>
      <c r="I33" s="22"/>
      <c r="J33" s="64"/>
      <c r="K33" s="28"/>
      <c r="L33" s="22"/>
      <c r="M33" s="22"/>
      <c r="N33" s="22"/>
      <c r="O33" s="22"/>
      <c r="P33" s="22"/>
      <c r="Q33" s="22"/>
    </row>
    <row r="34" spans="4:23" s="69" customFormat="1" ht="10.5" customHeight="1" outlineLevel="1" x14ac:dyDescent="0.2">
      <c r="E34" s="25" t="s">
        <v>88</v>
      </c>
      <c r="F34" s="65"/>
      <c r="G34" s="65"/>
      <c r="H34" s="65"/>
      <c r="I34" s="65"/>
      <c r="J34" s="66"/>
      <c r="K34" s="70">
        <f>K33</f>
        <v>0</v>
      </c>
      <c r="L34" s="71">
        <f t="shared" ref="L34:Q35" si="29">L33</f>
        <v>0</v>
      </c>
      <c r="M34" s="71">
        <f t="shared" si="29"/>
        <v>0</v>
      </c>
      <c r="N34" s="71">
        <f t="shared" si="29"/>
        <v>0</v>
      </c>
      <c r="O34" s="71">
        <f t="shared" si="29"/>
        <v>0</v>
      </c>
      <c r="P34" s="71">
        <f t="shared" si="29"/>
        <v>0</v>
      </c>
      <c r="Q34" s="71">
        <f t="shared" si="29"/>
        <v>0</v>
      </c>
    </row>
    <row r="35" spans="4:23" s="69" customFormat="1" ht="10.5" customHeight="1" outlineLevel="1" x14ac:dyDescent="0.2">
      <c r="E35" s="25" t="s">
        <v>89</v>
      </c>
      <c r="F35" s="65"/>
      <c r="G35" s="65"/>
      <c r="H35" s="65"/>
      <c r="I35" s="65"/>
      <c r="J35" s="66"/>
      <c r="K35" s="51">
        <f>K34</f>
        <v>0</v>
      </c>
      <c r="L35" s="52">
        <f t="shared" si="29"/>
        <v>0</v>
      </c>
      <c r="M35" s="52">
        <f t="shared" si="29"/>
        <v>0</v>
      </c>
      <c r="N35" s="52">
        <f t="shared" si="29"/>
        <v>0</v>
      </c>
      <c r="O35" s="52">
        <f t="shared" si="29"/>
        <v>0</v>
      </c>
      <c r="P35" s="52">
        <f t="shared" si="29"/>
        <v>0</v>
      </c>
      <c r="Q35" s="52">
        <f t="shared" si="29"/>
        <v>0</v>
      </c>
    </row>
    <row r="36" spans="4:23" x14ac:dyDescent="0.2">
      <c r="K36" s="27"/>
    </row>
    <row r="37" spans="4:23" x14ac:dyDescent="0.2">
      <c r="D37" s="21" t="s">
        <v>86</v>
      </c>
      <c r="F37" s="31" t="e">
        <f>+F8+F11+F14+F17+F20+F24+F30+F33</f>
        <v>#DIV/0!</v>
      </c>
      <c r="G37" s="31" t="e">
        <f t="shared" ref="G37:J37" si="30">+G8+G11+G14+G17+G20+G24+G30+G33</f>
        <v>#DIV/0!</v>
      </c>
      <c r="H37" s="31" t="e">
        <f t="shared" si="30"/>
        <v>#DIV/0!</v>
      </c>
      <c r="I37" s="31" t="e">
        <f t="shared" si="30"/>
        <v>#DIV/0!</v>
      </c>
      <c r="J37" s="31" t="e">
        <f t="shared" si="30"/>
        <v>#DIV/0!</v>
      </c>
      <c r="K37" s="29">
        <f>K8+K11+K14+K17+K20+K24+K30+K33</f>
        <v>424.09</v>
      </c>
      <c r="L37" s="24">
        <f t="shared" ref="L37:Q37" si="31">L8+L11+L14+L17+L20+L24+L30+L33</f>
        <v>383.58200000000005</v>
      </c>
      <c r="M37" s="24">
        <f t="shared" si="31"/>
        <v>721.70899999999995</v>
      </c>
      <c r="N37" s="24">
        <f t="shared" si="31"/>
        <v>726.09400000000005</v>
      </c>
      <c r="O37" s="24">
        <f t="shared" si="31"/>
        <v>0</v>
      </c>
      <c r="P37" s="24">
        <f t="shared" si="31"/>
        <v>0</v>
      </c>
      <c r="Q37" s="24">
        <f t="shared" si="31"/>
        <v>0</v>
      </c>
    </row>
    <row r="38" spans="4:23" x14ac:dyDescent="0.2">
      <c r="D38" s="26" t="s">
        <v>92</v>
      </c>
      <c r="F38" s="67">
        <f>+F9+F12+F15+F18+F21+F25+F31+F34</f>
        <v>721.70899999999995</v>
      </c>
      <c r="G38" s="67">
        <f t="shared" ref="G38:J38" si="32">+G9+G12+G15+G18+G21+G25+G31+G34</f>
        <v>721.70899999999995</v>
      </c>
      <c r="H38" s="67">
        <f t="shared" si="32"/>
        <v>721.70899999999995</v>
      </c>
      <c r="I38" s="67">
        <f t="shared" si="32"/>
        <v>721.70899999999995</v>
      </c>
      <c r="J38" s="67">
        <f t="shared" si="32"/>
        <v>721.70899999999995</v>
      </c>
      <c r="K38" s="72">
        <f>K37</f>
        <v>424.09</v>
      </c>
      <c r="L38" s="73">
        <f t="shared" ref="L38:Q39" si="33">L37</f>
        <v>383.58200000000005</v>
      </c>
      <c r="M38" s="73">
        <f t="shared" si="33"/>
        <v>721.70899999999995</v>
      </c>
      <c r="N38" s="73">
        <f t="shared" si="33"/>
        <v>726.09400000000005</v>
      </c>
      <c r="O38" s="73">
        <f t="shared" si="33"/>
        <v>0</v>
      </c>
      <c r="P38" s="73">
        <f t="shared" si="33"/>
        <v>0</v>
      </c>
      <c r="Q38" s="73">
        <f t="shared" si="33"/>
        <v>0</v>
      </c>
    </row>
    <row r="39" spans="4:23" x14ac:dyDescent="0.2">
      <c r="D39" s="26" t="s">
        <v>93</v>
      </c>
      <c r="F39" s="67">
        <f>+F10+F13+F16+F19+F22+F26+F32+F35</f>
        <v>721.70899999999995</v>
      </c>
      <c r="G39" s="67">
        <f t="shared" ref="G39:J39" si="34">+G10+G13+G16+G19+G22+G26+G32+G35</f>
        <v>721.70899999999995</v>
      </c>
      <c r="H39" s="67">
        <f t="shared" si="34"/>
        <v>721.70899999999995</v>
      </c>
      <c r="I39" s="67">
        <f t="shared" si="34"/>
        <v>721.70899999999995</v>
      </c>
      <c r="J39" s="67">
        <f t="shared" si="34"/>
        <v>721.70899999999995</v>
      </c>
      <c r="K39" s="72">
        <f>K38</f>
        <v>424.09</v>
      </c>
      <c r="L39" s="73">
        <f t="shared" si="33"/>
        <v>383.58200000000005</v>
      </c>
      <c r="M39" s="73">
        <f t="shared" si="33"/>
        <v>721.70899999999995</v>
      </c>
      <c r="N39" s="73">
        <f t="shared" si="33"/>
        <v>726.09400000000005</v>
      </c>
      <c r="O39" s="73">
        <f t="shared" si="33"/>
        <v>0</v>
      </c>
      <c r="P39" s="73">
        <f t="shared" si="33"/>
        <v>0</v>
      </c>
      <c r="Q39" s="73">
        <f t="shared" si="33"/>
        <v>0</v>
      </c>
    </row>
    <row r="40" spans="4:23" x14ac:dyDescent="0.2">
      <c r="D40" s="26"/>
      <c r="F40" s="67"/>
    </row>
    <row r="41" spans="4:23" ht="15.75" x14ac:dyDescent="0.25">
      <c r="K41" s="22" t="str">
        <f t="shared" ref="K41:Q41" si="35">K6</f>
        <v>H1 2014</v>
      </c>
      <c r="L41" s="28" t="str">
        <f t="shared" si="35"/>
        <v>H1 2013</v>
      </c>
      <c r="M41" s="28" t="str">
        <f t="shared" si="35"/>
        <v>12/31/2013</v>
      </c>
      <c r="N41" s="28" t="str">
        <f t="shared" si="35"/>
        <v>12/31/2012</v>
      </c>
      <c r="O41" s="28">
        <f t="shared" si="35"/>
        <v>0</v>
      </c>
      <c r="P41" s="28">
        <f t="shared" si="35"/>
        <v>0</v>
      </c>
      <c r="Q41" s="28">
        <f t="shared" si="35"/>
        <v>0</v>
      </c>
      <c r="R41" s="333" t="s">
        <v>84</v>
      </c>
      <c r="S41" s="333"/>
      <c r="T41" s="333"/>
      <c r="U41" s="333"/>
      <c r="V41" s="333"/>
      <c r="W41" s="333"/>
    </row>
    <row r="42" spans="4:23" s="20" customFormat="1" ht="15" x14ac:dyDescent="0.25">
      <c r="R42" s="49" t="s">
        <v>85</v>
      </c>
      <c r="S42" s="331" t="s">
        <v>98</v>
      </c>
      <c r="T42" s="331"/>
      <c r="U42" s="331"/>
      <c r="V42" s="49" t="s">
        <v>90</v>
      </c>
      <c r="W42" s="49" t="s">
        <v>91</v>
      </c>
    </row>
    <row r="43" spans="4:23" ht="9.75" customHeight="1" x14ac:dyDescent="0.2">
      <c r="S43" s="62" t="s">
        <v>99</v>
      </c>
      <c r="T43" s="62" t="s">
        <v>94</v>
      </c>
      <c r="U43" s="62" t="s">
        <v>95</v>
      </c>
    </row>
    <row r="44" spans="4:23" x14ac:dyDescent="0.2">
      <c r="K44" s="33">
        <f t="shared" ref="K44:O44" si="36">IF(AND(K8&lt;&gt;0,L8&lt;&gt;0),K8/L8-1,"")</f>
        <v>-0.80188039596799709</v>
      </c>
      <c r="L44" s="34">
        <f t="shared" si="36"/>
        <v>-0.61936305294127769</v>
      </c>
      <c r="M44" s="34">
        <f t="shared" si="36"/>
        <v>-0.64741103530277722</v>
      </c>
      <c r="N44" s="34" t="str">
        <f t="shared" si="36"/>
        <v/>
      </c>
      <c r="O44" s="34" t="str">
        <f t="shared" si="36"/>
        <v/>
      </c>
      <c r="P44" s="34" t="str">
        <f>IF(AND(P8&lt;&gt;0,Q8&lt;&gt;0),P8/Q8-1,"")</f>
        <v/>
      </c>
      <c r="Q44" s="38"/>
      <c r="R44" s="21" t="s">
        <v>100</v>
      </c>
      <c r="S44" s="57">
        <f>AVERAGE(K44:Q44)</f>
        <v>-0.68955149473735056</v>
      </c>
      <c r="T44" s="57">
        <f>AVERAGE(K44:L44)</f>
        <v>-0.71062172445463734</v>
      </c>
      <c r="U44" s="57">
        <f>AVERAGE(K44:M44)</f>
        <v>-0.68955149473735056</v>
      </c>
      <c r="V44" s="53"/>
      <c r="W44" s="53"/>
    </row>
    <row r="45" spans="4:23" x14ac:dyDescent="0.2">
      <c r="K45" s="35">
        <f t="shared" ref="K45:P45" si="37">IF(AND(K11&lt;&gt;0,L11&lt;&gt;0),K11/L11-1,"")</f>
        <v>0.39884685445106105</v>
      </c>
      <c r="L45" s="32">
        <f t="shared" si="37"/>
        <v>-0.36418343931953112</v>
      </c>
      <c r="M45" s="32">
        <f t="shared" si="37"/>
        <v>0.67297243769598958</v>
      </c>
      <c r="N45" s="32" t="str">
        <f t="shared" si="37"/>
        <v/>
      </c>
      <c r="O45" s="32" t="str">
        <f t="shared" si="37"/>
        <v/>
      </c>
      <c r="P45" s="32" t="str">
        <f t="shared" si="37"/>
        <v/>
      </c>
      <c r="Q45" s="39"/>
      <c r="R45" s="21" t="s">
        <v>40</v>
      </c>
      <c r="S45" s="57">
        <f t="shared" ref="S45:S47" si="38">AVERAGE(K45:Q45)</f>
        <v>0.23587861760917317</v>
      </c>
      <c r="T45" s="57">
        <f t="shared" ref="T45:T47" si="39">AVERAGE(K45:L45)</f>
        <v>1.7331707565764964E-2</v>
      </c>
      <c r="U45" s="57">
        <f t="shared" ref="U45:U47" si="40">AVERAGE(K45:M45)</f>
        <v>0.23587861760917317</v>
      </c>
      <c r="V45" s="53"/>
      <c r="W45" s="53"/>
    </row>
    <row r="46" spans="4:23" x14ac:dyDescent="0.2">
      <c r="K46" s="35" t="str">
        <f t="shared" ref="K46:P46" si="41">IF(AND(K14&lt;&gt;0,L14&lt;&gt;0),K14/L14-1,"")</f>
        <v/>
      </c>
      <c r="L46" s="32">
        <f t="shared" si="41"/>
        <v>-0.61084225252180424</v>
      </c>
      <c r="M46" s="32">
        <f t="shared" si="41"/>
        <v>2.577685712917285</v>
      </c>
      <c r="N46" s="32" t="str">
        <f t="shared" si="41"/>
        <v/>
      </c>
      <c r="O46" s="32" t="str">
        <f t="shared" si="41"/>
        <v/>
      </c>
      <c r="P46" s="32" t="str">
        <f t="shared" si="41"/>
        <v/>
      </c>
      <c r="Q46" s="39"/>
      <c r="R46" s="21" t="s">
        <v>80</v>
      </c>
      <c r="S46" s="57">
        <f t="shared" si="38"/>
        <v>0.98342173019774037</v>
      </c>
      <c r="T46" s="57">
        <f t="shared" si="39"/>
        <v>-0.61084225252180424</v>
      </c>
      <c r="U46" s="57">
        <f t="shared" si="40"/>
        <v>0.98342173019774037</v>
      </c>
      <c r="V46" s="53"/>
      <c r="W46" s="53"/>
    </row>
    <row r="47" spans="4:23" x14ac:dyDescent="0.2">
      <c r="K47" s="35" t="str">
        <f t="shared" ref="K47:P47" si="42">IF(AND(K17&lt;&gt;0,L17&lt;&gt;0),K17/L17-1,"")</f>
        <v/>
      </c>
      <c r="L47" s="32" t="str">
        <f t="shared" si="42"/>
        <v/>
      </c>
      <c r="M47" s="32" t="str">
        <f t="shared" si="42"/>
        <v/>
      </c>
      <c r="N47" s="32" t="str">
        <f t="shared" si="42"/>
        <v/>
      </c>
      <c r="O47" s="32" t="str">
        <f t="shared" si="42"/>
        <v/>
      </c>
      <c r="P47" s="32" t="str">
        <f t="shared" si="42"/>
        <v/>
      </c>
      <c r="Q47" s="39"/>
      <c r="R47" s="21" t="s">
        <v>41</v>
      </c>
      <c r="S47" s="57" t="e">
        <f t="shared" si="38"/>
        <v>#DIV/0!</v>
      </c>
      <c r="T47" s="57" t="e">
        <f t="shared" si="39"/>
        <v>#DIV/0!</v>
      </c>
      <c r="U47" s="57" t="e">
        <f t="shared" si="40"/>
        <v>#DIV/0!</v>
      </c>
      <c r="V47" s="59"/>
      <c r="W47" s="59"/>
    </row>
    <row r="48" spans="4:23" x14ac:dyDescent="0.2">
      <c r="K48" s="35" t="str">
        <f t="shared" ref="K48:P48" si="43">IF(AND(K20&lt;&gt;0,L20&lt;&gt;0),K20/L20-1,"")</f>
        <v/>
      </c>
      <c r="L48" s="32" t="str">
        <f t="shared" si="43"/>
        <v/>
      </c>
      <c r="M48" s="32" t="str">
        <f t="shared" si="43"/>
        <v/>
      </c>
      <c r="N48" s="32" t="str">
        <f t="shared" si="43"/>
        <v/>
      </c>
      <c r="O48" s="32" t="str">
        <f t="shared" si="43"/>
        <v/>
      </c>
      <c r="P48" s="32" t="str">
        <f t="shared" si="43"/>
        <v/>
      </c>
      <c r="Q48" s="39"/>
      <c r="R48" s="21" t="s">
        <v>81</v>
      </c>
      <c r="S48" s="57" t="s">
        <v>97</v>
      </c>
      <c r="T48" s="57" t="s">
        <v>97</v>
      </c>
      <c r="U48" s="57" t="s">
        <v>97</v>
      </c>
      <c r="V48" s="58" t="s">
        <v>97</v>
      </c>
      <c r="W48" s="58" t="s">
        <v>97</v>
      </c>
    </row>
    <row r="49" spans="5:23" x14ac:dyDescent="0.2">
      <c r="J49" s="40"/>
      <c r="K49" s="41"/>
      <c r="L49" s="41"/>
      <c r="M49" s="41"/>
      <c r="N49" s="41"/>
      <c r="O49" s="41"/>
      <c r="P49" s="41"/>
      <c r="Q49" s="42"/>
      <c r="R49" s="40"/>
      <c r="S49" s="30"/>
      <c r="T49" s="30"/>
      <c r="U49" s="30"/>
    </row>
    <row r="50" spans="5:23" x14ac:dyDescent="0.2">
      <c r="K50" s="35">
        <f t="shared" ref="K50:P50" si="44">IF(AND(K24&lt;&gt;0,L24&lt;&gt;0),K24/L24-1,"")</f>
        <v>-0.36943411159477646</v>
      </c>
      <c r="L50" s="32">
        <f t="shared" si="44"/>
        <v>-0.41976340491191977</v>
      </c>
      <c r="M50" s="32">
        <f t="shared" si="44"/>
        <v>-3.7636119360769382E-2</v>
      </c>
      <c r="N50" s="32" t="str">
        <f t="shared" si="44"/>
        <v/>
      </c>
      <c r="O50" s="32" t="str">
        <f t="shared" si="44"/>
        <v/>
      </c>
      <c r="P50" s="32" t="str">
        <f t="shared" si="44"/>
        <v/>
      </c>
      <c r="Q50" s="39"/>
      <c r="R50" s="21" t="s">
        <v>42</v>
      </c>
      <c r="S50" s="57">
        <f t="shared" ref="S50:S52" si="45">AVERAGE(K50:Q50)</f>
        <v>-0.27561121195582189</v>
      </c>
      <c r="T50" s="57">
        <f t="shared" ref="T50:T52" si="46">AVERAGE(K50:L50)</f>
        <v>-0.39459875825334811</v>
      </c>
      <c r="U50" s="57">
        <f t="shared" ref="U50:U52" si="47">AVERAGE(K50:M50)</f>
        <v>-0.27561121195582189</v>
      </c>
      <c r="V50" s="53"/>
      <c r="W50" s="53"/>
    </row>
    <row r="51" spans="5:23" s="20" customFormat="1" ht="10.5" customHeight="1" x14ac:dyDescent="0.2">
      <c r="E51" s="25"/>
      <c r="F51" s="24"/>
      <c r="G51" s="24"/>
      <c r="H51" s="24"/>
      <c r="I51" s="24"/>
      <c r="J51" s="24"/>
      <c r="K51" s="46" t="str">
        <f t="shared" ref="K51:P51" si="48">IF(AND(K27&lt;&gt;0,L27&lt;&gt;0),K27/L27-1,"")</f>
        <v/>
      </c>
      <c r="L51" s="24" t="str">
        <f t="shared" si="48"/>
        <v/>
      </c>
      <c r="M51" s="24" t="str">
        <f t="shared" si="48"/>
        <v/>
      </c>
      <c r="N51" s="24" t="str">
        <f t="shared" si="48"/>
        <v/>
      </c>
      <c r="O51" s="24" t="str">
        <f t="shared" si="48"/>
        <v/>
      </c>
      <c r="P51" s="24" t="str">
        <f t="shared" si="48"/>
        <v/>
      </c>
      <c r="Q51" s="24"/>
      <c r="R51" s="45" t="s">
        <v>83</v>
      </c>
      <c r="S51" s="60" t="e">
        <f t="shared" si="45"/>
        <v>#DIV/0!</v>
      </c>
      <c r="T51" s="61" t="e">
        <f t="shared" si="46"/>
        <v>#DIV/0!</v>
      </c>
      <c r="U51" s="61" t="e">
        <f t="shared" si="47"/>
        <v>#DIV/0!</v>
      </c>
      <c r="V51" s="53"/>
      <c r="W51" s="53"/>
    </row>
    <row r="52" spans="5:23" s="20" customFormat="1" x14ac:dyDescent="0.2">
      <c r="K52" s="35" t="str">
        <f>IF(AND(K30&lt;&gt;0,L30&lt;&gt;0),K30/L30-1,"")</f>
        <v/>
      </c>
      <c r="L52" s="32" t="str">
        <f t="shared" ref="L52:Q52" si="49">IF(AND(L30&lt;&gt;0,M30&lt;&gt;0),L30/M30-1,"")</f>
        <v/>
      </c>
      <c r="M52" s="32" t="str">
        <f t="shared" si="49"/>
        <v/>
      </c>
      <c r="N52" s="32" t="str">
        <f t="shared" si="49"/>
        <v/>
      </c>
      <c r="O52" s="32" t="str">
        <f t="shared" si="49"/>
        <v/>
      </c>
      <c r="P52" s="32" t="str">
        <f t="shared" si="49"/>
        <v/>
      </c>
      <c r="Q52" s="78" t="str">
        <f t="shared" si="49"/>
        <v/>
      </c>
      <c r="R52" s="21" t="s">
        <v>87</v>
      </c>
      <c r="S52" s="57" t="e">
        <f t="shared" si="45"/>
        <v>#DIV/0!</v>
      </c>
      <c r="T52" s="57" t="e">
        <f t="shared" si="46"/>
        <v>#DIV/0!</v>
      </c>
      <c r="U52" s="57" t="e">
        <f t="shared" si="47"/>
        <v>#DIV/0!</v>
      </c>
      <c r="V52" s="53"/>
      <c r="W52" s="53"/>
    </row>
    <row r="53" spans="5:23" x14ac:dyDescent="0.2">
      <c r="K53" s="36" t="str">
        <f>IF(AND(K33&lt;&gt;0,L33&lt;&gt;0),K33/L33-1,"")</f>
        <v/>
      </c>
      <c r="L53" s="37" t="str">
        <f t="shared" ref="L53:Q53" si="50">IF(AND(L33&lt;&gt;0,M33&lt;&gt;0),L33/M33-1,"")</f>
        <v/>
      </c>
      <c r="M53" s="37" t="str">
        <f t="shared" si="50"/>
        <v/>
      </c>
      <c r="N53" s="37" t="str">
        <f t="shared" si="50"/>
        <v/>
      </c>
      <c r="O53" s="37" t="str">
        <f t="shared" si="50"/>
        <v/>
      </c>
      <c r="P53" s="37" t="str">
        <f t="shared" si="50"/>
        <v/>
      </c>
      <c r="Q53" s="79" t="str">
        <f t="shared" si="50"/>
        <v/>
      </c>
      <c r="R53" s="21" t="s">
        <v>81</v>
      </c>
      <c r="S53" s="57" t="s">
        <v>97</v>
      </c>
      <c r="T53" s="57" t="s">
        <v>97</v>
      </c>
      <c r="U53" s="57" t="s">
        <v>97</v>
      </c>
      <c r="V53" s="58" t="s">
        <v>97</v>
      </c>
      <c r="W53" s="58" t="s">
        <v>97</v>
      </c>
    </row>
    <row r="55" spans="5:23" ht="18" x14ac:dyDescent="0.25">
      <c r="R55" s="54"/>
      <c r="S55" s="55">
        <v>1</v>
      </c>
      <c r="T55" s="55">
        <v>2</v>
      </c>
      <c r="U55" s="55">
        <v>3</v>
      </c>
    </row>
    <row r="56" spans="5:23" ht="18" x14ac:dyDescent="0.25">
      <c r="R56" s="56" t="s">
        <v>96</v>
      </c>
      <c r="S56" s="334">
        <v>1</v>
      </c>
      <c r="T56" s="335"/>
      <c r="U56" s="336"/>
    </row>
    <row r="57" spans="5:23" x14ac:dyDescent="0.2">
      <c r="S57" s="44"/>
      <c r="T57" s="44"/>
      <c r="U57" s="44"/>
    </row>
  </sheetData>
  <mergeCells count="6">
    <mergeCell ref="A1:D1"/>
    <mergeCell ref="F5:J5"/>
    <mergeCell ref="R41:W41"/>
    <mergeCell ref="S56:U56"/>
    <mergeCell ref="S42:U42"/>
    <mergeCell ref="I1:J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C2:S69"/>
  <sheetViews>
    <sheetView showGridLines="0" view="pageBreakPreview" zoomScale="85" zoomScaleNormal="100" zoomScaleSheetLayoutView="85" workbookViewId="0">
      <pane ySplit="5" topLeftCell="A6" activePane="bottomLeft" state="frozen"/>
      <selection pane="bottomLeft" activeCell="C4" sqref="C4:I69"/>
    </sheetView>
  </sheetViews>
  <sheetFormatPr defaultRowHeight="15" x14ac:dyDescent="0.25"/>
  <cols>
    <col min="2" max="2" width="15.5703125" customWidth="1"/>
    <col min="3" max="3" width="3.28515625" customWidth="1"/>
    <col min="4" max="4" width="43.28515625" customWidth="1"/>
    <col min="5" max="5" width="21.85546875" bestFit="1" customWidth="1"/>
    <col min="6" max="6" width="4" customWidth="1"/>
    <col min="7" max="7" width="14.140625" style="86" customWidth="1"/>
    <col min="8" max="8" width="14.140625" style="87" customWidth="1"/>
    <col min="9" max="9" width="14.140625" style="86" customWidth="1"/>
    <col min="11" max="11" width="18.5703125" style="84" customWidth="1"/>
    <col min="12" max="12" width="9.140625" style="85"/>
    <col min="13" max="19" width="9.140625" style="84"/>
  </cols>
  <sheetData>
    <row r="2" spans="3:19" x14ac:dyDescent="0.25">
      <c r="C2" s="343" t="s">
        <v>171</v>
      </c>
      <c r="D2" s="344"/>
      <c r="E2" s="157"/>
    </row>
    <row r="3" spans="3:19" ht="15.75" thickBot="1" x14ac:dyDescent="0.3"/>
    <row r="4" spans="3:19" s="149" customFormat="1" x14ac:dyDescent="0.25">
      <c r="C4" s="156"/>
      <c r="D4" s="155"/>
      <c r="E4" s="155"/>
      <c r="F4" s="155"/>
      <c r="G4" s="154"/>
      <c r="H4" s="153"/>
      <c r="I4" s="152"/>
      <c r="K4" s="150"/>
      <c r="L4" s="151"/>
      <c r="M4" s="150"/>
      <c r="N4" s="150"/>
      <c r="O4" s="150"/>
      <c r="P4" s="150"/>
      <c r="Q4" s="150"/>
      <c r="R4" s="150"/>
      <c r="S4" s="150"/>
    </row>
    <row r="5" spans="3:19" s="143" customFormat="1" ht="15.75" thickBot="1" x14ac:dyDescent="0.3">
      <c r="C5" s="148"/>
      <c r="D5" s="147" t="s">
        <v>170</v>
      </c>
      <c r="E5" s="147" t="s">
        <v>169</v>
      </c>
      <c r="F5" s="147"/>
      <c r="G5" s="147" t="s">
        <v>168</v>
      </c>
      <c r="H5" s="146" t="s">
        <v>167</v>
      </c>
      <c r="I5" s="145" t="s">
        <v>166</v>
      </c>
      <c r="K5" s="126"/>
      <c r="L5" s="144"/>
      <c r="M5" s="126"/>
      <c r="N5" s="126"/>
      <c r="O5" s="126"/>
      <c r="P5" s="126"/>
      <c r="Q5" s="126"/>
      <c r="R5" s="126"/>
      <c r="S5" s="126"/>
    </row>
    <row r="6" spans="3:19" s="131" customFormat="1" x14ac:dyDescent="0.25">
      <c r="C6" s="142"/>
      <c r="D6" s="141"/>
      <c r="E6" s="141"/>
      <c r="F6" s="141"/>
      <c r="G6" s="141"/>
      <c r="H6" s="140"/>
      <c r="I6" s="139"/>
      <c r="K6" s="132"/>
      <c r="L6" s="133"/>
      <c r="M6" s="132"/>
      <c r="N6" s="132"/>
      <c r="O6" s="132"/>
      <c r="P6" s="132"/>
      <c r="Q6" s="132"/>
      <c r="R6" s="132"/>
      <c r="S6" s="132"/>
    </row>
    <row r="7" spans="3:19" s="131" customFormat="1" x14ac:dyDescent="0.25">
      <c r="C7" s="138" t="str">
        <f>'[1]BS - Alt Currency'!B6</f>
        <v>Counterparty name</v>
      </c>
      <c r="D7" s="136"/>
      <c r="E7" s="244" t="str">
        <f>Cover!A4</f>
        <v>Saras Group</v>
      </c>
      <c r="F7" s="136"/>
      <c r="G7" s="136"/>
      <c r="H7" s="135"/>
      <c r="I7" s="134"/>
      <c r="K7" s="132"/>
      <c r="L7" s="133"/>
      <c r="M7" s="132"/>
      <c r="N7" s="132"/>
      <c r="O7" s="132"/>
      <c r="P7" s="132"/>
      <c r="Q7" s="132"/>
      <c r="R7" s="132"/>
      <c r="S7" s="132"/>
    </row>
    <row r="8" spans="3:19" s="131" customFormat="1" x14ac:dyDescent="0.25">
      <c r="C8" s="137"/>
      <c r="D8" s="136"/>
      <c r="E8" s="136"/>
      <c r="F8" s="136"/>
      <c r="G8" s="136"/>
      <c r="H8" s="135"/>
      <c r="I8" s="134"/>
      <c r="K8" s="132"/>
      <c r="L8" s="133"/>
      <c r="M8" s="132"/>
      <c r="N8" s="132"/>
      <c r="O8" s="132"/>
      <c r="P8" s="132"/>
      <c r="Q8" s="132"/>
      <c r="R8" s="132"/>
      <c r="S8" s="132"/>
    </row>
    <row r="9" spans="3:19" x14ac:dyDescent="0.25">
      <c r="C9" s="111" t="s">
        <v>165</v>
      </c>
      <c r="D9" s="84"/>
      <c r="E9" s="84"/>
      <c r="F9" s="84"/>
      <c r="G9" s="110"/>
      <c r="H9" s="109"/>
      <c r="I9" s="130"/>
    </row>
    <row r="10" spans="3:19" x14ac:dyDescent="0.25">
      <c r="C10" s="111"/>
      <c r="D10" s="84"/>
      <c r="E10" s="110"/>
      <c r="F10" s="84"/>
      <c r="G10" s="110"/>
      <c r="H10" s="109"/>
      <c r="I10" s="130"/>
    </row>
    <row r="11" spans="3:19" x14ac:dyDescent="0.25">
      <c r="C11" s="111"/>
      <c r="D11" s="119" t="s">
        <v>164</v>
      </c>
      <c r="E11" s="125" t="s">
        <v>246</v>
      </c>
      <c r="F11" s="84"/>
      <c r="G11" s="110" t="str">
        <f>VLOOKUP($E$11,'Reference Data_General'!B:C,2,FALSE)</f>
        <v>BBB+</v>
      </c>
      <c r="H11" s="109" t="s">
        <v>97</v>
      </c>
      <c r="I11" s="130"/>
      <c r="J11" s="84"/>
    </row>
    <row r="12" spans="3:19" x14ac:dyDescent="0.25">
      <c r="C12" s="113"/>
      <c r="D12" s="84"/>
      <c r="E12" s="110"/>
      <c r="F12" s="84"/>
      <c r="G12" s="110"/>
      <c r="H12" s="109"/>
      <c r="I12" s="130"/>
    </row>
    <row r="13" spans="3:19" x14ac:dyDescent="0.25">
      <c r="C13" s="111" t="s">
        <v>163</v>
      </c>
      <c r="D13" s="84"/>
      <c r="E13" s="110"/>
      <c r="F13" s="84"/>
      <c r="G13" s="110"/>
      <c r="H13" s="109"/>
      <c r="I13" s="130"/>
    </row>
    <row r="14" spans="3:19" x14ac:dyDescent="0.25">
      <c r="C14" s="111"/>
      <c r="D14" s="84"/>
      <c r="E14" s="110"/>
      <c r="F14" s="84"/>
      <c r="G14" s="110"/>
      <c r="H14" s="109"/>
      <c r="I14" s="112"/>
    </row>
    <row r="15" spans="3:19" x14ac:dyDescent="0.25">
      <c r="C15" s="111"/>
      <c r="D15" s="84" t="s">
        <v>162</v>
      </c>
      <c r="E15" s="125" t="s">
        <v>315</v>
      </c>
      <c r="F15" s="84"/>
      <c r="G15" s="128">
        <f>VLOOKUP(E15,'Reference Data_General'!E5:F11,2,FALSE)</f>
        <v>0.99999999999999822</v>
      </c>
      <c r="H15" s="116">
        <v>0.05</v>
      </c>
      <c r="I15" s="108">
        <f>IF(E15="Select", "-", G15*H15)</f>
        <v>4.9999999999999913E-2</v>
      </c>
    </row>
    <row r="16" spans="3:19" x14ac:dyDescent="0.25">
      <c r="C16" s="113"/>
      <c r="D16" s="84"/>
      <c r="E16" s="110"/>
      <c r="F16" s="84"/>
      <c r="G16" s="128"/>
      <c r="H16" s="116"/>
      <c r="I16" s="112"/>
    </row>
    <row r="17" spans="3:9" x14ac:dyDescent="0.25">
      <c r="C17" s="113"/>
      <c r="D17" s="119" t="s">
        <v>161</v>
      </c>
      <c r="E17" s="125" t="s">
        <v>304</v>
      </c>
      <c r="F17" s="84"/>
      <c r="G17" s="128">
        <f>VLOOKUP(E17,'Reference Data_General'!E14:F21,2,FALSE)</f>
        <v>7.3333333333333321</v>
      </c>
      <c r="H17" s="129">
        <v>0.1</v>
      </c>
      <c r="I17" s="108">
        <f>IF(E17="Select", "-", G17*H17)</f>
        <v>0.73333333333333328</v>
      </c>
    </row>
    <row r="18" spans="3:9" x14ac:dyDescent="0.25">
      <c r="C18" s="113"/>
      <c r="D18" s="119"/>
      <c r="E18" s="110"/>
      <c r="F18" s="84"/>
      <c r="G18" s="110"/>
      <c r="H18" s="109"/>
      <c r="I18" s="112"/>
    </row>
    <row r="19" spans="3:9" x14ac:dyDescent="0.25">
      <c r="C19" s="113"/>
      <c r="D19" s="119" t="s">
        <v>160</v>
      </c>
      <c r="E19" s="125" t="s">
        <v>277</v>
      </c>
      <c r="F19" s="84"/>
      <c r="G19" s="128">
        <f>VLOOKUP(E19,'Reference Data_General'!E24:F29,2,FALSE)</f>
        <v>15.25</v>
      </c>
      <c r="H19" s="109">
        <v>0.1</v>
      </c>
      <c r="I19" s="108">
        <f>IF(E19="Select", "-", G19*H19)</f>
        <v>1.5250000000000001</v>
      </c>
    </row>
    <row r="20" spans="3:9" ht="23.25" x14ac:dyDescent="0.25">
      <c r="C20" s="113"/>
      <c r="D20" s="124" t="s">
        <v>159</v>
      </c>
      <c r="E20" s="110"/>
      <c r="F20" s="84"/>
      <c r="G20" s="110"/>
      <c r="H20" s="109"/>
      <c r="I20" s="108"/>
    </row>
    <row r="21" spans="3:9" x14ac:dyDescent="0.25">
      <c r="C21" s="113"/>
      <c r="D21" s="124"/>
      <c r="E21" s="110"/>
      <c r="F21" s="84"/>
      <c r="G21" s="110"/>
      <c r="H21" s="109"/>
      <c r="I21" s="108"/>
    </row>
    <row r="22" spans="3:9" x14ac:dyDescent="0.25">
      <c r="C22" s="111" t="s">
        <v>158</v>
      </c>
      <c r="D22" s="124"/>
      <c r="E22" s="110"/>
      <c r="F22" s="84"/>
      <c r="G22" s="110"/>
      <c r="H22" s="109"/>
      <c r="I22" s="108"/>
    </row>
    <row r="23" spans="3:9" x14ac:dyDescent="0.25">
      <c r="C23" s="113"/>
      <c r="D23" s="124"/>
      <c r="E23" s="110"/>
      <c r="F23" s="84"/>
      <c r="G23" s="110"/>
      <c r="H23" s="109"/>
      <c r="I23" s="108"/>
    </row>
    <row r="24" spans="3:9" x14ac:dyDescent="0.25">
      <c r="C24" s="113"/>
      <c r="D24" s="119" t="s">
        <v>157</v>
      </c>
      <c r="E24" s="125" t="s">
        <v>320</v>
      </c>
      <c r="F24" s="84"/>
      <c r="G24" s="127">
        <f>VLOOKUP(E24,'Reference Data_General'!H5:I10,2,FALSE)</f>
        <v>15.25</v>
      </c>
      <c r="H24" s="109">
        <v>0.1</v>
      </c>
      <c r="I24" s="108">
        <f>IF(E24="Select", "-", G24*H24)</f>
        <v>1.5250000000000001</v>
      </c>
    </row>
    <row r="25" spans="3:9" x14ac:dyDescent="0.25">
      <c r="C25" s="113"/>
      <c r="D25" s="119" t="s">
        <v>156</v>
      </c>
      <c r="F25" s="84"/>
      <c r="G25" s="127"/>
      <c r="H25" s="109"/>
      <c r="I25" s="108"/>
    </row>
    <row r="26" spans="3:9" x14ac:dyDescent="0.25">
      <c r="C26" s="113"/>
      <c r="D26" s="124"/>
      <c r="E26" s="126"/>
      <c r="F26" s="84"/>
      <c r="G26" s="110"/>
      <c r="H26" s="109"/>
      <c r="I26" s="108"/>
    </row>
    <row r="27" spans="3:9" x14ac:dyDescent="0.25">
      <c r="C27" s="113"/>
      <c r="D27" s="119" t="s">
        <v>155</v>
      </c>
      <c r="E27" s="125" t="s">
        <v>303</v>
      </c>
      <c r="F27" s="84"/>
      <c r="G27" s="110">
        <f>VLOOKUP(E27,'Reference Data_General'!H13:I18,2,FALSE)</f>
        <v>15.25</v>
      </c>
      <c r="H27" s="109">
        <v>0.1</v>
      </c>
      <c r="I27" s="108">
        <f>IF(E27="Select", "-", G27*H27)</f>
        <v>1.5250000000000001</v>
      </c>
    </row>
    <row r="28" spans="3:9" x14ac:dyDescent="0.25">
      <c r="C28" s="113"/>
      <c r="D28" s="124"/>
      <c r="E28" s="110"/>
      <c r="F28" s="84"/>
      <c r="G28" s="110"/>
      <c r="H28" s="109"/>
      <c r="I28" s="108"/>
    </row>
    <row r="29" spans="3:9" x14ac:dyDescent="0.25">
      <c r="C29" s="111" t="s">
        <v>153</v>
      </c>
      <c r="D29" s="84"/>
      <c r="E29" s="110"/>
      <c r="F29" s="84"/>
      <c r="G29" s="110"/>
      <c r="H29" s="109"/>
      <c r="I29" s="108"/>
    </row>
    <row r="30" spans="3:9" ht="15.75" thickBot="1" x14ac:dyDescent="0.3">
      <c r="C30" s="111"/>
      <c r="D30" s="84"/>
      <c r="E30" s="110"/>
      <c r="F30" s="84"/>
      <c r="G30" s="120"/>
      <c r="H30" s="109"/>
      <c r="I30" s="108"/>
    </row>
    <row r="31" spans="3:9" ht="15.75" thickBot="1" x14ac:dyDescent="0.3">
      <c r="C31" s="113"/>
      <c r="D31" s="119" t="s">
        <v>152</v>
      </c>
      <c r="E31" s="123">
        <f>'3. Financials (Foreign)'!G37/AVERAGE('3. Financials (Foreign)'!G40:H40)</f>
        <v>0.3459444083969116</v>
      </c>
      <c r="F31" s="84"/>
      <c r="G31" s="117">
        <f>IF(E31&lt;0,20,VLOOKUP(E31,'Reference Data_General'!K5:L11,2))</f>
        <v>7.3333333333333321</v>
      </c>
      <c r="H31" s="109">
        <v>0.05</v>
      </c>
      <c r="I31" s="108">
        <f>H31*G31</f>
        <v>0.36666666666666664</v>
      </c>
    </row>
    <row r="32" spans="3:9" x14ac:dyDescent="0.25">
      <c r="C32" s="113"/>
      <c r="D32" s="115" t="s">
        <v>151</v>
      </c>
      <c r="E32" s="110"/>
      <c r="F32" s="84"/>
      <c r="G32" s="114"/>
      <c r="H32" s="109"/>
      <c r="I32" s="108"/>
    </row>
    <row r="33" spans="3:9" ht="15.75" thickBot="1" x14ac:dyDescent="0.3">
      <c r="C33" s="113"/>
      <c r="D33" s="119"/>
      <c r="E33" s="110"/>
      <c r="F33" s="84"/>
      <c r="G33" s="120"/>
      <c r="H33" s="109"/>
      <c r="I33" s="108"/>
    </row>
    <row r="34" spans="3:9" ht="15.75" thickBot="1" x14ac:dyDescent="0.3">
      <c r="C34" s="113"/>
      <c r="D34" s="119" t="s">
        <v>150</v>
      </c>
      <c r="E34" s="122">
        <f>('3. Financials (Foreign)'!G38-'3. Financials (Foreign)'!G32)/AVERAGE('3. Financials (Foreign)'!G12:H12)</f>
        <v>0.35062989684086099</v>
      </c>
      <c r="F34" s="84"/>
      <c r="G34" s="114">
        <f>IF(E34&lt;0,20,VLOOKUP(E34,'Reference Data_General'!K14:L21,2))</f>
        <v>1</v>
      </c>
      <c r="H34" s="109">
        <v>0.1</v>
      </c>
      <c r="I34" s="108">
        <f>H34*G34</f>
        <v>0.1</v>
      </c>
    </row>
    <row r="35" spans="3:9" x14ac:dyDescent="0.25">
      <c r="C35" s="113"/>
      <c r="D35" s="115" t="s">
        <v>149</v>
      </c>
      <c r="E35" s="110"/>
      <c r="F35" s="84"/>
      <c r="G35" s="114"/>
      <c r="H35" s="109"/>
      <c r="I35" s="108"/>
    </row>
    <row r="36" spans="3:9" x14ac:dyDescent="0.25">
      <c r="C36" s="113"/>
      <c r="D36" s="84"/>
      <c r="E36" s="110"/>
      <c r="F36" s="84"/>
      <c r="G36" s="114"/>
      <c r="H36" s="109"/>
      <c r="I36" s="108"/>
    </row>
    <row r="37" spans="3:9" x14ac:dyDescent="0.25">
      <c r="C37" s="111" t="s">
        <v>148</v>
      </c>
      <c r="D37" s="84"/>
      <c r="E37" s="110"/>
      <c r="F37" s="84"/>
      <c r="G37" s="120"/>
      <c r="H37" s="109"/>
      <c r="I37" s="108"/>
    </row>
    <row r="38" spans="3:9" ht="15.75" thickBot="1" x14ac:dyDescent="0.3">
      <c r="C38" s="113"/>
      <c r="D38" s="84"/>
      <c r="E38" s="110"/>
      <c r="F38" s="84"/>
      <c r="G38" s="120"/>
      <c r="H38" s="109"/>
      <c r="I38" s="108"/>
    </row>
    <row r="39" spans="3:9" ht="15.75" thickBot="1" x14ac:dyDescent="0.3">
      <c r="C39" s="113"/>
      <c r="D39" s="119" t="s">
        <v>147</v>
      </c>
      <c r="E39" s="118">
        <f>AVERAGE('3. Financials (Foreign)'!G22:H22)/'3. Financials (Foreign)'!G38</f>
        <v>0.56288134097926767</v>
      </c>
      <c r="F39" s="84"/>
      <c r="G39" s="114">
        <f>IF(E39&lt;0,20,VLOOKUP(E39,'Reference Data_General'!N5:O10,2))</f>
        <v>0.99999999999999822</v>
      </c>
      <c r="H39" s="116">
        <v>0.1</v>
      </c>
      <c r="I39" s="108">
        <f>H39*G39</f>
        <v>9.9999999999999825E-2</v>
      </c>
    </row>
    <row r="40" spans="3:9" x14ac:dyDescent="0.25">
      <c r="C40" s="113"/>
      <c r="D40" s="115" t="s">
        <v>146</v>
      </c>
      <c r="E40" s="110"/>
      <c r="F40" s="84"/>
      <c r="G40" s="114"/>
      <c r="H40" s="109"/>
      <c r="I40" s="108"/>
    </row>
    <row r="41" spans="3:9" ht="15.75" thickBot="1" x14ac:dyDescent="0.3">
      <c r="C41" s="113"/>
      <c r="D41" s="119"/>
      <c r="E41" s="110"/>
      <c r="F41" s="84"/>
      <c r="G41" s="114"/>
      <c r="H41" s="109"/>
      <c r="I41" s="108"/>
    </row>
    <row r="42" spans="3:9" ht="15.75" thickBot="1" x14ac:dyDescent="0.3">
      <c r="C42" s="113"/>
      <c r="D42" s="119" t="s">
        <v>145</v>
      </c>
      <c r="E42" s="121">
        <f>AVERAGE(('3. Financials (Foreign)'!G12-'3. Financials (Foreign)'!G30),('3. Financials (Foreign)'!H12-'3. Financials (Foreign)'!H30))/'3. Financials (Foreign)'!G13</f>
        <v>5.5729814192058162</v>
      </c>
      <c r="F42" s="84"/>
      <c r="G42" s="114">
        <f>IF(E42&lt;0,20,VLOOKUP(E42,'Reference Data_General'!N13:O19,2))</f>
        <v>10.5</v>
      </c>
      <c r="H42" s="116">
        <v>7.4999999999999997E-2</v>
      </c>
      <c r="I42" s="108">
        <f>H42*G42</f>
        <v>0.78749999999999998</v>
      </c>
    </row>
    <row r="43" spans="3:9" x14ac:dyDescent="0.25">
      <c r="C43" s="113"/>
      <c r="D43" s="115" t="s">
        <v>144</v>
      </c>
      <c r="E43" s="110"/>
      <c r="F43" s="84"/>
      <c r="G43" s="114"/>
      <c r="H43" s="116"/>
      <c r="I43" s="112"/>
    </row>
    <row r="44" spans="3:9" ht="15.75" thickBot="1" x14ac:dyDescent="0.3">
      <c r="C44" s="113"/>
      <c r="D44" s="119"/>
      <c r="E44" s="110"/>
      <c r="F44" s="84"/>
      <c r="G44" s="120"/>
      <c r="H44" s="116"/>
      <c r="I44" s="112"/>
    </row>
    <row r="45" spans="3:9" ht="15.75" thickBot="1" x14ac:dyDescent="0.3">
      <c r="C45" s="113"/>
      <c r="D45" s="119" t="s">
        <v>143</v>
      </c>
      <c r="E45" s="118">
        <f>AVERAGE('3. Financials (Foreign)'!G17:H17)/'3. Financials (Foreign)'!G38</f>
        <v>-2.1479488310542548E-2</v>
      </c>
      <c r="F45" s="84"/>
      <c r="G45" s="117">
        <v>20</v>
      </c>
      <c r="H45" s="116">
        <v>7.4999999999999997E-2</v>
      </c>
      <c r="I45" s="108">
        <f>H45*G45</f>
        <v>1.5</v>
      </c>
    </row>
    <row r="46" spans="3:9" x14ac:dyDescent="0.25">
      <c r="C46" s="113"/>
      <c r="D46" s="115" t="s">
        <v>142</v>
      </c>
      <c r="E46" s="110"/>
      <c r="F46" s="84"/>
      <c r="G46" s="114"/>
      <c r="H46" s="116"/>
      <c r="I46" s="108"/>
    </row>
    <row r="47" spans="3:9" x14ac:dyDescent="0.25">
      <c r="C47" s="113"/>
      <c r="D47" s="84"/>
      <c r="E47" s="84"/>
      <c r="F47" s="84"/>
      <c r="G47" s="110"/>
      <c r="H47" s="109"/>
      <c r="I47" s="112"/>
    </row>
    <row r="48" spans="3:9" x14ac:dyDescent="0.25">
      <c r="C48" s="111" t="s">
        <v>141</v>
      </c>
      <c r="D48" s="84"/>
      <c r="E48" s="84"/>
      <c r="F48" s="84"/>
      <c r="G48" s="110"/>
      <c r="H48" s="109"/>
      <c r="I48" s="112"/>
    </row>
    <row r="49" spans="3:12" ht="15.75" thickBot="1" x14ac:dyDescent="0.3">
      <c r="C49" s="113"/>
      <c r="D49" s="84"/>
      <c r="E49" s="84"/>
      <c r="F49" s="84"/>
      <c r="G49" s="110"/>
      <c r="H49" s="109"/>
      <c r="I49" s="112"/>
    </row>
    <row r="50" spans="3:12" ht="15.75" thickBot="1" x14ac:dyDescent="0.3">
      <c r="C50" s="113"/>
      <c r="D50" s="119" t="s">
        <v>140</v>
      </c>
      <c r="E50" s="118">
        <f>AVERAGE(('3. Financials (Foreign)'!G12-'3. Financials (Foreign)'!G30),('3. Financials (Foreign)'!H12-'3. Financials (Foreign)'!H30))/'3. Financials (Foreign)'!G10</f>
        <v>-1.4609396788805377E-2</v>
      </c>
      <c r="F50" s="84"/>
      <c r="G50" s="117">
        <v>20</v>
      </c>
      <c r="H50" s="116">
        <v>7.4999999999999997E-2</v>
      </c>
      <c r="I50" s="108">
        <f>H50*G50</f>
        <v>1.5</v>
      </c>
    </row>
    <row r="51" spans="3:12" x14ac:dyDescent="0.25">
      <c r="C51" s="113"/>
      <c r="D51" s="115" t="s">
        <v>139</v>
      </c>
      <c r="E51" s="110"/>
      <c r="F51" s="84"/>
      <c r="G51" s="114"/>
      <c r="H51" s="109"/>
      <c r="I51" s="112"/>
    </row>
    <row r="52" spans="3:12" ht="15.75" thickBot="1" x14ac:dyDescent="0.3">
      <c r="C52" s="113"/>
      <c r="D52" s="119"/>
      <c r="E52" s="110"/>
      <c r="F52" s="84"/>
      <c r="G52" s="120"/>
      <c r="H52" s="109"/>
      <c r="I52" s="112"/>
    </row>
    <row r="53" spans="3:12" s="84" customFormat="1" ht="15.75" thickBot="1" x14ac:dyDescent="0.3">
      <c r="C53" s="113"/>
      <c r="D53" s="119" t="s">
        <v>138</v>
      </c>
      <c r="E53" s="118">
        <f>'3. Financials (Foreign)'!G14/AVERAGE(('3. Financials (Foreign)'!G34-'3. Financials (Foreign)'!G45-'3. Financials (Foreign)'!G46),('3. Financials (Foreign)'!H34-'3. Financials (Foreign)'!H45-'3. Financials (Foreign)'!H46))</f>
        <v>-7.4191222484308456E-2</v>
      </c>
      <c r="G53" s="117">
        <v>20</v>
      </c>
      <c r="H53" s="116">
        <v>7.4999999999999997E-2</v>
      </c>
      <c r="I53" s="108">
        <f>H53*G53</f>
        <v>1.5</v>
      </c>
      <c r="L53" s="85"/>
    </row>
    <row r="54" spans="3:12" x14ac:dyDescent="0.25">
      <c r="C54" s="113"/>
      <c r="D54" s="115" t="s">
        <v>137</v>
      </c>
      <c r="E54" s="110"/>
      <c r="F54" s="84"/>
      <c r="G54" s="114"/>
      <c r="H54" s="109"/>
      <c r="I54" s="108"/>
    </row>
    <row r="55" spans="3:12" x14ac:dyDescent="0.25">
      <c r="C55" s="113"/>
      <c r="D55" s="84"/>
      <c r="E55" s="84"/>
      <c r="F55" s="84"/>
      <c r="G55" s="110"/>
      <c r="H55" s="109"/>
      <c r="I55" s="112"/>
    </row>
    <row r="56" spans="3:12" ht="15.75" thickBot="1" x14ac:dyDescent="0.3">
      <c r="C56" s="111" t="s">
        <v>136</v>
      </c>
      <c r="D56" s="84"/>
      <c r="E56" s="84"/>
      <c r="F56" s="84"/>
      <c r="G56" s="110"/>
      <c r="H56" s="109">
        <f>SUM(H15:H53)</f>
        <v>0.99999999999999978</v>
      </c>
      <c r="I56" s="108">
        <f>SUM(I15:I54)</f>
        <v>11.212499999999999</v>
      </c>
    </row>
    <row r="57" spans="3:12" x14ac:dyDescent="0.25">
      <c r="C57" s="107"/>
      <c r="D57" s="106"/>
      <c r="E57" s="106"/>
      <c r="F57" s="106"/>
      <c r="G57" s="105"/>
      <c r="H57" s="104"/>
      <c r="I57" s="103"/>
    </row>
    <row r="58" spans="3:12" x14ac:dyDescent="0.25">
      <c r="C58" s="97" t="s">
        <v>135</v>
      </c>
      <c r="D58" s="96"/>
      <c r="E58" s="96" t="s">
        <v>240</v>
      </c>
      <c r="F58" s="96"/>
      <c r="G58" s="95"/>
      <c r="H58" s="94"/>
      <c r="I58" s="93" t="str">
        <f>VLOOKUP(I56,'Reference Data_General'!T:V,2)</f>
        <v>BBB-</v>
      </c>
    </row>
    <row r="59" spans="3:12" x14ac:dyDescent="0.25">
      <c r="C59" s="99"/>
      <c r="D59" s="96"/>
      <c r="E59" s="96"/>
      <c r="F59" s="96"/>
      <c r="G59" s="95"/>
      <c r="H59" s="94"/>
      <c r="I59" s="93"/>
    </row>
    <row r="60" spans="3:12" x14ac:dyDescent="0.25">
      <c r="C60" s="97" t="s">
        <v>134</v>
      </c>
      <c r="D60" s="96"/>
      <c r="E60" s="102" t="s">
        <v>282</v>
      </c>
      <c r="F60" s="96"/>
      <c r="G60" s="95"/>
      <c r="H60" s="94"/>
      <c r="I60" s="93" t="str">
        <f>E60</f>
        <v>-2</v>
      </c>
    </row>
    <row r="61" spans="3:12" x14ac:dyDescent="0.25">
      <c r="C61" s="97"/>
      <c r="D61" s="96"/>
      <c r="E61" s="96"/>
      <c r="F61" s="96"/>
      <c r="G61" s="95"/>
      <c r="H61" s="94"/>
      <c r="I61" s="93"/>
    </row>
    <row r="62" spans="3:12" ht="59.25" customHeight="1" x14ac:dyDescent="0.25">
      <c r="C62" s="101"/>
      <c r="D62" s="100"/>
      <c r="E62" s="337" t="s">
        <v>497</v>
      </c>
      <c r="F62" s="338"/>
      <c r="G62" s="338"/>
      <c r="H62" s="339"/>
      <c r="I62" s="93"/>
    </row>
    <row r="63" spans="3:12" x14ac:dyDescent="0.25">
      <c r="C63" s="99"/>
      <c r="D63" s="96"/>
      <c r="E63" s="340"/>
      <c r="F63" s="341"/>
      <c r="G63" s="341"/>
      <c r="H63" s="342"/>
      <c r="I63" s="93"/>
    </row>
    <row r="64" spans="3:12" x14ac:dyDescent="0.25">
      <c r="C64" s="99"/>
      <c r="D64" s="96"/>
      <c r="E64" s="98"/>
      <c r="F64" s="98"/>
      <c r="G64" s="98"/>
      <c r="H64" s="98"/>
      <c r="I64" s="93"/>
    </row>
    <row r="65" spans="3:9" x14ac:dyDescent="0.25">
      <c r="C65" s="97" t="s">
        <v>131</v>
      </c>
      <c r="D65" s="96"/>
      <c r="E65" s="96"/>
      <c r="F65" s="96"/>
      <c r="G65" s="95"/>
      <c r="H65" s="94"/>
      <c r="I65" s="93" t="str">
        <f>IF(I60="-",I58,VLOOKUP(I58,'Reference Data_General'!X5:AB23,'Reference Data_General'!Y31,FALSE))</f>
        <v>BB</v>
      </c>
    </row>
    <row r="66" spans="3:9" x14ac:dyDescent="0.25">
      <c r="C66" s="97"/>
      <c r="D66" s="96"/>
      <c r="E66" s="96"/>
      <c r="F66" s="96"/>
      <c r="G66" s="95"/>
      <c r="H66" s="94"/>
      <c r="I66" s="93"/>
    </row>
    <row r="67" spans="3:9" x14ac:dyDescent="0.25">
      <c r="C67" s="97" t="s">
        <v>130</v>
      </c>
      <c r="D67" s="96"/>
      <c r="E67" s="96"/>
      <c r="F67" s="96"/>
      <c r="G67" s="95"/>
      <c r="H67" s="94"/>
      <c r="I67" s="93" t="str">
        <f>'Reference Data_General'!AF8</f>
        <v>No</v>
      </c>
    </row>
    <row r="68" spans="3:9" ht="15.75" thickBot="1" x14ac:dyDescent="0.3">
      <c r="C68" s="92"/>
      <c r="D68" s="91"/>
      <c r="E68" s="91"/>
      <c r="F68" s="91"/>
      <c r="G68" s="90"/>
      <c r="H68" s="89"/>
      <c r="I68" s="88"/>
    </row>
    <row r="69" spans="3:9" ht="15.75" thickBot="1" x14ac:dyDescent="0.3">
      <c r="C69" s="92" t="s">
        <v>129</v>
      </c>
      <c r="D69" s="91"/>
      <c r="E69" s="91"/>
      <c r="F69" s="91"/>
      <c r="G69" s="90"/>
      <c r="H69" s="89"/>
      <c r="I69" s="88" t="s">
        <v>240</v>
      </c>
    </row>
  </sheetData>
  <mergeCells count="2">
    <mergeCell ref="E62:H63"/>
    <mergeCell ref="C2:D2"/>
  </mergeCells>
  <pageMargins left="0.7" right="0.7" top="0.75" bottom="0.75" header="0.3" footer="0.3"/>
  <pageSetup scale="65" orientation="portrait" r:id="rId1"/>
  <legacyDrawing r:id="rId2"/>
  <extLst>
    <ext xmlns:x14="http://schemas.microsoft.com/office/spreadsheetml/2009/9/main" uri="{CCE6A557-97BC-4b89-ADB6-D9C93CAAB3DF}">
      <x14:dataValidations xmlns:xm="http://schemas.microsoft.com/office/excel/2006/main" count="7">
        <x14:dataValidation type="list" allowBlank="1" showInputMessage="1" showErrorMessage="1">
          <x14:formula1>
            <xm:f>'Reference Data_General'!$H$13:$H$18</xm:f>
          </x14:formula1>
          <xm:sqref>E27</xm:sqref>
        </x14:dataValidation>
        <x14:dataValidation type="list" allowBlank="1" showInputMessage="1" showErrorMessage="1">
          <x14:formula1>
            <xm:f>'Reference Data_General'!$AA$26:$AA$30</xm:f>
          </x14:formula1>
          <xm:sqref>E60</xm:sqref>
        </x14:dataValidation>
        <x14:dataValidation type="list" allowBlank="1" showInputMessage="1" showErrorMessage="1">
          <x14:formula1>
            <xm:f>'Reference Data_General'!$E$14:$E$21</xm:f>
          </x14:formula1>
          <xm:sqref>E17</xm:sqref>
        </x14:dataValidation>
        <x14:dataValidation type="list" allowBlank="1" showInputMessage="1" showErrorMessage="1">
          <x14:formula1>
            <xm:f>'Reference Data_General'!$E$5:$E$11</xm:f>
          </x14:formula1>
          <xm:sqref>E15</xm:sqref>
        </x14:dataValidation>
        <x14:dataValidation type="list" allowBlank="1" showInputMessage="1" showErrorMessage="1">
          <x14:formula1>
            <xm:f>'Reference Data_General'!$E$24:$E$29</xm:f>
          </x14:formula1>
          <xm:sqref>E19</xm:sqref>
        </x14:dataValidation>
        <x14:dataValidation type="list" allowBlank="1" showInputMessage="1" showErrorMessage="1">
          <x14:formula1>
            <xm:f>'Reference Data_General'!$B$6:$B$112</xm:f>
          </x14:formula1>
          <xm:sqref>E11</xm:sqref>
        </x14:dataValidation>
        <x14:dataValidation type="list" allowBlank="1" showInputMessage="1" showErrorMessage="1">
          <x14:formula1>
            <xm:f>'Reference Data_General'!$H$5:$H$10</xm:f>
          </x14:formula1>
          <xm:sqref>E24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workbookViewId="0">
      <selection activeCell="E17" sqref="E17"/>
    </sheetView>
  </sheetViews>
  <sheetFormatPr defaultRowHeight="14.25" x14ac:dyDescent="0.2"/>
  <cols>
    <col min="1" max="2" width="12.28515625" style="20" customWidth="1"/>
    <col min="3" max="3" width="15.140625" style="20" customWidth="1"/>
    <col min="4" max="4" width="9.140625" style="20"/>
    <col min="5" max="5" width="17.85546875" style="20" customWidth="1"/>
    <col min="6" max="6" width="22.85546875" style="20" customWidth="1"/>
    <col min="7" max="7" width="9.140625" style="20"/>
    <col min="8" max="8" width="3.5703125" style="20" customWidth="1"/>
    <col min="9" max="9" width="16.7109375" style="20" customWidth="1"/>
    <col min="10" max="10" width="14.28515625" style="20" customWidth="1"/>
    <col min="11" max="11" width="9" style="20" customWidth="1"/>
    <col min="12" max="16384" width="9.140625" style="20"/>
  </cols>
  <sheetData>
    <row r="1" spans="1:14" x14ac:dyDescent="0.2">
      <c r="A1" s="329" t="str">
        <f>Cover!A4</f>
        <v>Saras Group</v>
      </c>
      <c r="B1" s="329"/>
      <c r="C1" s="329"/>
      <c r="D1" s="329"/>
      <c r="E1" s="82" t="str">
        <f>Cover!A2</f>
        <v>Daniel Dunai</v>
      </c>
      <c r="F1" s="82" t="str">
        <f>Cover!A15</f>
        <v>EUR</v>
      </c>
      <c r="G1" s="12"/>
      <c r="H1" s="12"/>
      <c r="I1" s="328">
        <f>Cover!A13</f>
        <v>41928</v>
      </c>
      <c r="J1" s="328"/>
      <c r="K1" s="12"/>
      <c r="L1" s="12"/>
      <c r="M1" s="12"/>
      <c r="N1" s="12"/>
    </row>
    <row r="2" spans="1:14" ht="18" x14ac:dyDescent="0.25">
      <c r="A2" s="3" t="s">
        <v>370</v>
      </c>
    </row>
    <row r="4" spans="1:14" ht="15" x14ac:dyDescent="0.2">
      <c r="A4" s="346" t="s">
        <v>371</v>
      </c>
      <c r="B4" s="346"/>
      <c r="C4" s="346"/>
      <c r="D4" s="347"/>
    </row>
    <row r="5" spans="1:14" x14ac:dyDescent="0.2">
      <c r="A5" s="345" t="s">
        <v>383</v>
      </c>
      <c r="B5" s="345"/>
      <c r="C5" s="345"/>
      <c r="D5" s="348"/>
    </row>
    <row r="6" spans="1:14" ht="15" x14ac:dyDescent="0.2">
      <c r="A6" s="346" t="s">
        <v>382</v>
      </c>
      <c r="B6" s="346"/>
      <c r="C6" s="346"/>
      <c r="D6" s="347"/>
      <c r="I6" s="20" t="s">
        <v>374</v>
      </c>
      <c r="J6" s="20" t="s">
        <v>375</v>
      </c>
      <c r="K6" s="20" t="s">
        <v>379</v>
      </c>
      <c r="L6" s="20" t="s">
        <v>376</v>
      </c>
    </row>
    <row r="7" spans="1:14" x14ac:dyDescent="0.2">
      <c r="A7" s="345" t="s">
        <v>381</v>
      </c>
      <c r="B7" s="345"/>
      <c r="C7" s="345"/>
      <c r="D7" s="348"/>
      <c r="H7" s="20">
        <v>1</v>
      </c>
      <c r="J7" s="238"/>
      <c r="K7" s="237" t="e">
        <f>J7/$J$17</f>
        <v>#DIV/0!</v>
      </c>
    </row>
    <row r="8" spans="1:14" ht="15" x14ac:dyDescent="0.2">
      <c r="A8" s="349" t="s">
        <v>372</v>
      </c>
      <c r="B8" s="349"/>
      <c r="C8" s="349"/>
      <c r="D8" s="347" t="e">
        <f>I21</f>
        <v>#DIV/0!</v>
      </c>
      <c r="H8" s="20">
        <v>2</v>
      </c>
      <c r="J8" s="238"/>
      <c r="K8" s="237" t="e">
        <f t="shared" ref="K8:K16" si="0">J8/$J$17</f>
        <v>#DIV/0!</v>
      </c>
    </row>
    <row r="9" spans="1:14" x14ac:dyDescent="0.2">
      <c r="A9" s="350" t="s">
        <v>373</v>
      </c>
      <c r="B9" s="350"/>
      <c r="C9" s="350"/>
      <c r="D9" s="351"/>
      <c r="H9" s="20">
        <v>3</v>
      </c>
      <c r="J9" s="238"/>
      <c r="K9" s="237" t="e">
        <f t="shared" si="0"/>
        <v>#DIV/0!</v>
      </c>
    </row>
    <row r="10" spans="1:14" x14ac:dyDescent="0.2">
      <c r="A10" s="350"/>
      <c r="B10" s="350"/>
      <c r="C10" s="350"/>
      <c r="D10" s="348"/>
      <c r="H10" s="20">
        <v>4</v>
      </c>
      <c r="J10" s="238"/>
      <c r="K10" s="237" t="e">
        <f t="shared" si="0"/>
        <v>#DIV/0!</v>
      </c>
    </row>
    <row r="11" spans="1:14" x14ac:dyDescent="0.2">
      <c r="H11" s="20">
        <v>5</v>
      </c>
      <c r="J11" s="238"/>
      <c r="K11" s="237" t="e">
        <f t="shared" si="0"/>
        <v>#DIV/0!</v>
      </c>
    </row>
    <row r="12" spans="1:14" x14ac:dyDescent="0.2">
      <c r="H12" s="20">
        <v>6</v>
      </c>
      <c r="J12" s="238"/>
      <c r="K12" s="237" t="e">
        <f t="shared" si="0"/>
        <v>#DIV/0!</v>
      </c>
    </row>
    <row r="13" spans="1:14" x14ac:dyDescent="0.2">
      <c r="H13" s="20">
        <v>7</v>
      </c>
      <c r="J13" s="238"/>
      <c r="K13" s="237" t="e">
        <f t="shared" si="0"/>
        <v>#DIV/0!</v>
      </c>
    </row>
    <row r="14" spans="1:14" x14ac:dyDescent="0.2">
      <c r="H14" s="20">
        <v>8</v>
      </c>
      <c r="J14" s="238"/>
      <c r="K14" s="237" t="e">
        <f t="shared" si="0"/>
        <v>#DIV/0!</v>
      </c>
    </row>
    <row r="15" spans="1:14" x14ac:dyDescent="0.2">
      <c r="H15" s="20">
        <v>9</v>
      </c>
      <c r="J15" s="238"/>
      <c r="K15" s="237" t="e">
        <f t="shared" si="0"/>
        <v>#DIV/0!</v>
      </c>
    </row>
    <row r="16" spans="1:14" x14ac:dyDescent="0.2">
      <c r="H16" s="20">
        <v>10</v>
      </c>
      <c r="J16" s="238"/>
      <c r="K16" s="237" t="e">
        <f t="shared" si="0"/>
        <v>#DIV/0!</v>
      </c>
    </row>
    <row r="17" spans="6:13" ht="15" customHeight="1" x14ac:dyDescent="0.25">
      <c r="F17" s="353" t="s">
        <v>377</v>
      </c>
      <c r="G17" s="353"/>
      <c r="H17" s="353"/>
      <c r="I17" s="2"/>
      <c r="J17" s="2">
        <f>SUM(J7:J16)</f>
        <v>0</v>
      </c>
      <c r="K17" s="239" t="e">
        <f>SUM(K7:K16)</f>
        <v>#DIV/0!</v>
      </c>
      <c r="L17" s="2" t="e">
        <f>AVERAGE(L7:L16)</f>
        <v>#DIV/0!</v>
      </c>
      <c r="M17" s="2"/>
    </row>
    <row r="21" spans="6:13" ht="15" customHeight="1" x14ac:dyDescent="0.2">
      <c r="F21" s="327" t="s">
        <v>380</v>
      </c>
      <c r="G21" s="327"/>
      <c r="H21" s="327"/>
      <c r="I21" s="356" t="e">
        <f>J17*I24</f>
        <v>#DIV/0!</v>
      </c>
    </row>
    <row r="22" spans="6:13" x14ac:dyDescent="0.2">
      <c r="F22" s="327"/>
      <c r="G22" s="327"/>
      <c r="H22" s="327"/>
      <c r="I22" s="356"/>
    </row>
    <row r="24" spans="6:13" x14ac:dyDescent="0.2">
      <c r="F24" s="354" t="s">
        <v>378</v>
      </c>
      <c r="G24" s="354"/>
      <c r="H24" s="354"/>
      <c r="I24" s="355" t="e">
        <f>SUMPRODUCT(K7:K16,L7:L16)</f>
        <v>#DIV/0!</v>
      </c>
    </row>
    <row r="25" spans="6:13" x14ac:dyDescent="0.2">
      <c r="F25" s="354"/>
      <c r="G25" s="354"/>
      <c r="H25" s="354"/>
      <c r="I25" s="355"/>
    </row>
    <row r="26" spans="6:13" x14ac:dyDescent="0.2">
      <c r="F26" s="354"/>
      <c r="G26" s="354"/>
      <c r="H26" s="354"/>
      <c r="I26" s="355"/>
    </row>
    <row r="28" spans="6:13" x14ac:dyDescent="0.2">
      <c r="F28" s="352"/>
      <c r="G28" s="352"/>
      <c r="H28" s="352"/>
    </row>
    <row r="29" spans="6:13" x14ac:dyDescent="0.2">
      <c r="F29" s="352"/>
      <c r="G29" s="352"/>
      <c r="H29" s="352"/>
    </row>
  </sheetData>
  <mergeCells count="17">
    <mergeCell ref="F28:H29"/>
    <mergeCell ref="F17:H17"/>
    <mergeCell ref="F24:H26"/>
    <mergeCell ref="I24:I26"/>
    <mergeCell ref="F21:H22"/>
    <mergeCell ref="I21:I22"/>
    <mergeCell ref="A7:C7"/>
    <mergeCell ref="D6:D7"/>
    <mergeCell ref="A8:C8"/>
    <mergeCell ref="A9:C10"/>
    <mergeCell ref="D8:D10"/>
    <mergeCell ref="A6:C6"/>
    <mergeCell ref="A5:C5"/>
    <mergeCell ref="A4:C4"/>
    <mergeCell ref="D4:D5"/>
    <mergeCell ref="A1:D1"/>
    <mergeCell ref="I1: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Cover</vt:lpstr>
      <vt:lpstr>1. EBITDA cleaner</vt:lpstr>
      <vt:lpstr>2. FFO calculator</vt:lpstr>
      <vt:lpstr>3. Financials (Foreign)</vt:lpstr>
      <vt:lpstr>3. Financials (USD manual)</vt:lpstr>
      <vt:lpstr>3. Financials (USD)</vt:lpstr>
      <vt:lpstr>Liquidity Forecast</vt:lpstr>
      <vt:lpstr>R.Output_General Industries</vt:lpstr>
      <vt:lpstr>Refinery Input</vt:lpstr>
      <vt:lpstr>R.Output_Refineries</vt:lpstr>
      <vt:lpstr>Reference Data_General</vt:lpstr>
      <vt:lpstr>Reference Data_Refineries</vt:lpstr>
      <vt:lpstr>Reference Data_Comm. traders</vt:lpstr>
      <vt:lpstr>Reference Data_Comm. traders 2</vt:lpstr>
      <vt:lpstr>R.Output_Commodity traders</vt:lpstr>
      <vt:lpstr>'1. EBITDA cleaner'!Print_Area</vt:lpstr>
      <vt:lpstr>'2. FFO calculator'!Print_Area</vt:lpstr>
      <vt:lpstr>'3. Financials (Foreign)'!Print_Area</vt:lpstr>
      <vt:lpstr>'3. Financials (USD manual)'!Print_Area</vt:lpstr>
      <vt:lpstr>Cover!Print_Area</vt:lpstr>
      <vt:lpstr>'R.Output_Commodity traders'!Print_Area</vt:lpstr>
      <vt:lpstr>'R.Output_General Industries'!Print_Area</vt:lpstr>
      <vt:lpstr>R.Output_Refineries!Print_Area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cp:lastPrinted>2014-11-04T17:06:58Z</cp:lastPrinted>
  <dcterms:created xsi:type="dcterms:W3CDTF">2014-07-22T14:45:13Z</dcterms:created>
  <dcterms:modified xsi:type="dcterms:W3CDTF">2014-11-04T17:09:20Z</dcterms:modified>
</cp:coreProperties>
</file>