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/Desktop/WorkingFPY/Enerhash/Github/Financial-spreading-for-credit/"/>
    </mc:Choice>
  </mc:AlternateContent>
  <xr:revisionPtr revIDLastSave="0" documentId="8_{97AD50EE-F3A7-1442-AC0B-DC29E297502F}" xr6:coauthVersionLast="45" xr6:coauthVersionMax="45" xr10:uidLastSave="{00000000-0000-0000-0000-000000000000}"/>
  <bookViews>
    <workbookView xWindow="3400" yWindow="1840" windowWidth="12600" windowHeight="12980" xr2:uid="{00000000-000D-0000-FFFF-FFFF00000000}"/>
  </bookViews>
  <sheets>
    <sheet name="Cover" sheetId="3" r:id="rId1"/>
    <sheet name="1. EBITDA cleaner" sheetId="1" r:id="rId2"/>
    <sheet name="2. FFO calculator" sheetId="2" r:id="rId3"/>
    <sheet name="3. Financials (Foreign)" sheetId="5" r:id="rId4"/>
    <sheet name="3. Financials (USD manual)" sheetId="16" r:id="rId5"/>
    <sheet name="3. Financials (USD)" sheetId="13" r:id="rId6"/>
  </sheets>
  <externalReferences>
    <externalReference r:id="rId7"/>
  </externalReferences>
  <definedNames>
    <definedName name="AR">'[1]BS - Base Currency'!$C$10:$N$10</definedName>
    <definedName name="Assets">'[1]BS - Base Currency'!$C$27:$O$27</definedName>
    <definedName name="AvgAssets" localSheetId="4">'[1]BS - Base Currency'!#REF!</definedName>
    <definedName name="AvgAssets" localSheetId="5">'[1]BS - Base Currency'!#REF!</definedName>
    <definedName name="AvgAssets">'[1]BS - Base Currency'!#REF!</definedName>
    <definedName name="Capitalization">'[1]BS - Base Currency'!$C$67:$N$67</definedName>
    <definedName name="Cash">'[1]BS - Base Currency'!$C$8:$N$8</definedName>
    <definedName name="CurrentAssets">'[1]BS - Base Currency'!$C$14:$N$14</definedName>
    <definedName name="CurrentLiabilities">'[1]BS - Base Currency'!$C$38:$N$38</definedName>
    <definedName name="EBIT">'[1]IS &amp; CFS - Base Currency'!$C$16:$N$16</definedName>
    <definedName name="EBITDA">'[1]IS &amp; CFS - Base Currency'!$C$62:$N$62</definedName>
    <definedName name="Equity">'[1]BS - Base Currency'!$C$58:$N$58</definedName>
    <definedName name="FCF">'[1]IS &amp; CFS - Base Currency'!$C$63:$N$63</definedName>
    <definedName name="FFO">'[1]IS &amp; CFS - Base Currency'!$C$34:$N$34</definedName>
    <definedName name="GrossProfit">'[1]IS &amp; CFS - Base Currency'!$C$9:$N$9</definedName>
    <definedName name="IntExp">'[1]IS &amp; CFS - Base Currency'!$C$18:$N$18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etIncome">'[1]IS &amp; CFS - Base Currency'!$C$26:$N$26</definedName>
    <definedName name="_xlnm.Print_Area" localSheetId="1">'1. EBITDA cleaner'!$A$1:$L$63</definedName>
    <definedName name="_xlnm.Print_Area" localSheetId="2">'2. FFO calculator'!$A$1:$L$23</definedName>
    <definedName name="_xlnm.Print_Area" localSheetId="3">'3. Financials (Foreign)'!$A$1:$R$86</definedName>
    <definedName name="_xlnm.Print_Area" localSheetId="4">'3. Financials (USD manual)'!$A$1:$R$86</definedName>
    <definedName name="_xlnm.Print_Area" localSheetId="0">Cover!$A$1:$H$17</definedName>
    <definedName name="Revenues">'[1]IS &amp; CFS - Base Currency'!$C$7:$N$7</definedName>
    <definedName name="TangAssets">'[1]BS - Base Currency'!$C$68:$N$68</definedName>
    <definedName name="TotalDebt">'[1]BS - Base Currency'!$C$66:$N$66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6" l="1"/>
  <c r="E49" i="16"/>
  <c r="D49" i="16"/>
  <c r="F48" i="16"/>
  <c r="F60" i="16" s="1"/>
  <c r="E48" i="16"/>
  <c r="D48" i="16"/>
  <c r="F47" i="16"/>
  <c r="E47" i="16"/>
  <c r="D47" i="16"/>
  <c r="F46" i="16"/>
  <c r="E46" i="16"/>
  <c r="D46" i="16"/>
  <c r="F45" i="16"/>
  <c r="E45" i="16"/>
  <c r="D45" i="16"/>
  <c r="F39" i="16"/>
  <c r="E39" i="16"/>
  <c r="D39" i="16"/>
  <c r="F37" i="16"/>
  <c r="E37" i="16"/>
  <c r="D37" i="16"/>
  <c r="F33" i="16"/>
  <c r="E33" i="16"/>
  <c r="D33" i="16"/>
  <c r="F32" i="16"/>
  <c r="E32" i="16"/>
  <c r="D32" i="16"/>
  <c r="F30" i="16"/>
  <c r="E30" i="16"/>
  <c r="D30" i="16"/>
  <c r="F28" i="16"/>
  <c r="E28" i="16"/>
  <c r="D28" i="16"/>
  <c r="F22" i="16"/>
  <c r="F68" i="16" s="1"/>
  <c r="E22" i="16"/>
  <c r="D22" i="16"/>
  <c r="F20" i="16"/>
  <c r="E20" i="16"/>
  <c r="D20" i="16"/>
  <c r="F19" i="16"/>
  <c r="E19" i="16"/>
  <c r="D19" i="16"/>
  <c r="F14" i="16"/>
  <c r="E14" i="16"/>
  <c r="D14" i="16"/>
  <c r="F13" i="16"/>
  <c r="E13" i="16"/>
  <c r="D13" i="16"/>
  <c r="F12" i="16"/>
  <c r="E12" i="16"/>
  <c r="D12" i="16"/>
  <c r="F10" i="16"/>
  <c r="F76" i="16" s="1"/>
  <c r="E10" i="16"/>
  <c r="D10" i="16"/>
  <c r="D68" i="16"/>
  <c r="F55" i="16"/>
  <c r="D55" i="16"/>
  <c r="D74" i="16"/>
  <c r="E54" i="16"/>
  <c r="O26" i="16"/>
  <c r="D6" i="16"/>
  <c r="D38" i="16"/>
  <c r="E68" i="16"/>
  <c r="K78" i="16"/>
  <c r="J78" i="16"/>
  <c r="I78" i="16"/>
  <c r="H78" i="16"/>
  <c r="G78" i="16"/>
  <c r="C78" i="16"/>
  <c r="B78" i="16"/>
  <c r="K77" i="16"/>
  <c r="J77" i="16"/>
  <c r="I77" i="16"/>
  <c r="H77" i="16"/>
  <c r="G77" i="16"/>
  <c r="C77" i="16"/>
  <c r="B77" i="16"/>
  <c r="K75" i="16"/>
  <c r="J75" i="16"/>
  <c r="I75" i="16"/>
  <c r="J74" i="16"/>
  <c r="I74" i="16"/>
  <c r="G74" i="16"/>
  <c r="B74" i="16"/>
  <c r="K72" i="16"/>
  <c r="J72" i="16"/>
  <c r="I72" i="16"/>
  <c r="H72" i="16"/>
  <c r="G72" i="16"/>
  <c r="C72" i="16"/>
  <c r="B72" i="16"/>
  <c r="K71" i="16"/>
  <c r="J71" i="16"/>
  <c r="I71" i="16"/>
  <c r="H71" i="16"/>
  <c r="G71" i="16"/>
  <c r="C71" i="16"/>
  <c r="B71" i="16"/>
  <c r="K63" i="16"/>
  <c r="J63" i="16"/>
  <c r="I63" i="16"/>
  <c r="H63" i="16"/>
  <c r="G63" i="16"/>
  <c r="C63" i="16"/>
  <c r="B63" i="16"/>
  <c r="K62" i="16"/>
  <c r="J62" i="16"/>
  <c r="I62" i="16"/>
  <c r="H62" i="16"/>
  <c r="G62" i="16"/>
  <c r="C62" i="16"/>
  <c r="B62" i="16"/>
  <c r="K61" i="16"/>
  <c r="J61" i="16"/>
  <c r="I61" i="16"/>
  <c r="K60" i="16"/>
  <c r="J60" i="16"/>
  <c r="I60" i="16"/>
  <c r="H60" i="16"/>
  <c r="G60" i="16"/>
  <c r="D60" i="16"/>
  <c r="C60" i="16"/>
  <c r="B60" i="16"/>
  <c r="E51" i="16"/>
  <c r="K41" i="16"/>
  <c r="J41" i="16"/>
  <c r="I41" i="16"/>
  <c r="C41" i="16"/>
  <c r="B41" i="16"/>
  <c r="K40" i="16"/>
  <c r="K69" i="16" s="1"/>
  <c r="J40" i="16"/>
  <c r="J69" i="16" s="1"/>
  <c r="I40" i="16"/>
  <c r="I69" i="16" s="1"/>
  <c r="F38" i="16"/>
  <c r="K37" i="16"/>
  <c r="K82" i="16" s="1"/>
  <c r="J37" i="16"/>
  <c r="I37" i="16"/>
  <c r="H56" i="16"/>
  <c r="G82" i="16"/>
  <c r="C37" i="16"/>
  <c r="C82" i="16" s="1"/>
  <c r="B37" i="16"/>
  <c r="O31" i="16"/>
  <c r="K30" i="16"/>
  <c r="J30" i="16"/>
  <c r="I30" i="16"/>
  <c r="H52" i="16"/>
  <c r="C30" i="16"/>
  <c r="B30" i="16"/>
  <c r="B28" i="16"/>
  <c r="C25" i="16"/>
  <c r="B25" i="16"/>
  <c r="C20" i="16"/>
  <c r="B20" i="16"/>
  <c r="K19" i="16"/>
  <c r="K22" i="16" s="1"/>
  <c r="J19" i="16"/>
  <c r="J22" i="16" s="1"/>
  <c r="I19" i="16"/>
  <c r="I22" i="16" s="1"/>
  <c r="I66" i="16" s="1"/>
  <c r="C19" i="16"/>
  <c r="B19" i="16"/>
  <c r="K14" i="16"/>
  <c r="K79" i="16" s="1"/>
  <c r="J14" i="16"/>
  <c r="J81" i="16" s="1"/>
  <c r="I14" i="16"/>
  <c r="I80" i="16" s="1"/>
  <c r="H79" i="16"/>
  <c r="G79" i="16"/>
  <c r="C14" i="16"/>
  <c r="C81" i="16" s="1"/>
  <c r="B14" i="16"/>
  <c r="B80" i="16" s="1"/>
  <c r="K13" i="16"/>
  <c r="J13" i="16"/>
  <c r="I13" i="16"/>
  <c r="H55" i="16"/>
  <c r="F53" i="16"/>
  <c r="H54" i="16"/>
  <c r="H75" i="16"/>
  <c r="G75" i="16"/>
  <c r="C11" i="16"/>
  <c r="C75" i="16" s="1"/>
  <c r="B11" i="16"/>
  <c r="B75" i="16" s="1"/>
  <c r="K8" i="16"/>
  <c r="J8" i="16"/>
  <c r="I8" i="16"/>
  <c r="H8" i="16"/>
  <c r="G8" i="16"/>
  <c r="C8" i="16"/>
  <c r="B8" i="16"/>
  <c r="E6" i="16"/>
  <c r="K5" i="16"/>
  <c r="J5" i="16"/>
  <c r="J6" i="16" s="1"/>
  <c r="I5" i="16"/>
  <c r="H5" i="16"/>
  <c r="G6" i="16" s="1"/>
  <c r="G5" i="16"/>
  <c r="F6" i="16" s="1"/>
  <c r="C5" i="16"/>
  <c r="B5" i="16"/>
  <c r="B6" i="16" s="1"/>
  <c r="H3" i="16"/>
  <c r="G3" i="16"/>
  <c r="H2" i="16"/>
  <c r="G2" i="16"/>
  <c r="C2" i="16"/>
  <c r="B2" i="16"/>
  <c r="K1" i="16"/>
  <c r="J1" i="16"/>
  <c r="I1" i="16"/>
  <c r="H1" i="16"/>
  <c r="G1" i="16"/>
  <c r="C1" i="16"/>
  <c r="B1" i="16"/>
  <c r="E41" i="5"/>
  <c r="F38" i="5"/>
  <c r="F66" i="5" s="1"/>
  <c r="E38" i="5"/>
  <c r="E66" i="5" s="1"/>
  <c r="D38" i="5"/>
  <c r="D44" i="5"/>
  <c r="D44" i="16" s="1"/>
  <c r="E44" i="5"/>
  <c r="E44" i="16" s="1"/>
  <c r="F44" i="5"/>
  <c r="F44" i="16" s="1"/>
  <c r="D43" i="5"/>
  <c r="D43" i="16" s="1"/>
  <c r="E43" i="5"/>
  <c r="E43" i="16" s="1"/>
  <c r="F43" i="5"/>
  <c r="F43" i="16" s="1"/>
  <c r="F72" i="16" s="1"/>
  <c r="D40" i="5"/>
  <c r="E40" i="5"/>
  <c r="F40" i="5"/>
  <c r="D63" i="5"/>
  <c r="D69" i="5"/>
  <c r="F68" i="5"/>
  <c r="E68" i="5"/>
  <c r="D68" i="5"/>
  <c r="D66" i="5"/>
  <c r="F63" i="5"/>
  <c r="E63" i="5"/>
  <c r="F62" i="5"/>
  <c r="E62" i="5"/>
  <c r="D62" i="5"/>
  <c r="D61" i="5"/>
  <c r="F60" i="5"/>
  <c r="E60" i="5"/>
  <c r="D59" i="5"/>
  <c r="D58" i="5"/>
  <c r="F57" i="5"/>
  <c r="F56" i="5"/>
  <c r="E56" i="5"/>
  <c r="D56" i="5"/>
  <c r="F55" i="5"/>
  <c r="E55" i="5"/>
  <c r="D55" i="5"/>
  <c r="F54" i="5"/>
  <c r="E54" i="5"/>
  <c r="D54" i="5"/>
  <c r="E53" i="5"/>
  <c r="D53" i="5"/>
  <c r="F52" i="5"/>
  <c r="E52" i="5"/>
  <c r="D52" i="5"/>
  <c r="F51" i="5"/>
  <c r="E51" i="5"/>
  <c r="D51" i="5"/>
  <c r="E17" i="5"/>
  <c r="D17" i="5"/>
  <c r="D23" i="5" s="1"/>
  <c r="D18" i="5"/>
  <c r="D18" i="16" s="1"/>
  <c r="E18" i="5"/>
  <c r="E18" i="16" s="1"/>
  <c r="E17" i="16" s="1"/>
  <c r="F18" i="5"/>
  <c r="F18" i="16" s="1"/>
  <c r="F17" i="16" s="1"/>
  <c r="F79" i="5"/>
  <c r="E79" i="5"/>
  <c r="D79" i="5"/>
  <c r="F76" i="5"/>
  <c r="E76" i="5"/>
  <c r="D76" i="5"/>
  <c r="F74" i="5"/>
  <c r="E74" i="5"/>
  <c r="D74" i="5"/>
  <c r="D11" i="5"/>
  <c r="D75" i="5" s="1"/>
  <c r="E11" i="5"/>
  <c r="E75" i="5" s="1"/>
  <c r="F11" i="5"/>
  <c r="F75" i="5" s="1"/>
  <c r="D6" i="5"/>
  <c r="E6" i="5"/>
  <c r="O31" i="5"/>
  <c r="C42" i="16" l="1"/>
  <c r="D11" i="16"/>
  <c r="D41" i="5"/>
  <c r="E74" i="16"/>
  <c r="E11" i="16"/>
  <c r="E69" i="5"/>
  <c r="F72" i="5"/>
  <c r="C22" i="16"/>
  <c r="F11" i="16"/>
  <c r="E64" i="5"/>
  <c r="D67" i="5"/>
  <c r="E72" i="5"/>
  <c r="F41" i="5"/>
  <c r="F17" i="5"/>
  <c r="F64" i="5" s="1"/>
  <c r="D72" i="5"/>
  <c r="E23" i="5"/>
  <c r="E63" i="16"/>
  <c r="I6" i="16"/>
  <c r="B22" i="16"/>
  <c r="B68" i="16" s="1"/>
  <c r="C38" i="16"/>
  <c r="F52" i="16"/>
  <c r="E60" i="16"/>
  <c r="F79" i="16"/>
  <c r="F51" i="16"/>
  <c r="E56" i="16"/>
  <c r="F61" i="16"/>
  <c r="E55" i="16"/>
  <c r="F62" i="16"/>
  <c r="E62" i="16"/>
  <c r="D62" i="16"/>
  <c r="D72" i="16"/>
  <c r="E72" i="16"/>
  <c r="D41" i="16"/>
  <c r="E41" i="16"/>
  <c r="E75" i="16"/>
  <c r="F57" i="16"/>
  <c r="F58" i="5"/>
  <c r="D64" i="5"/>
  <c r="F69" i="5"/>
  <c r="F23" i="5"/>
  <c r="F42" i="16"/>
  <c r="E42" i="16" s="1"/>
  <c r="D42" i="16" s="1"/>
  <c r="F56" i="16"/>
  <c r="F63" i="16"/>
  <c r="F74" i="16"/>
  <c r="D75" i="16"/>
  <c r="D17" i="16"/>
  <c r="D23" i="16" s="1"/>
  <c r="D51" i="16"/>
  <c r="D40" i="16"/>
  <c r="E53" i="16"/>
  <c r="F59" i="5"/>
  <c r="F61" i="5"/>
  <c r="D63" i="16"/>
  <c r="D54" i="16"/>
  <c r="E57" i="16"/>
  <c r="D79" i="16"/>
  <c r="D69" i="16"/>
  <c r="E79" i="16"/>
  <c r="E38" i="16"/>
  <c r="E66" i="16" s="1"/>
  <c r="F40" i="16"/>
  <c r="F69" i="16" s="1"/>
  <c r="D56" i="16"/>
  <c r="E40" i="16"/>
  <c r="D57" i="16"/>
  <c r="G56" i="16"/>
  <c r="G64" i="16"/>
  <c r="B38" i="16"/>
  <c r="B61" i="16" s="1"/>
  <c r="E52" i="16"/>
  <c r="D53" i="16"/>
  <c r="D66" i="16"/>
  <c r="C40" i="16"/>
  <c r="C69" i="16" s="1"/>
  <c r="G69" i="16"/>
  <c r="D59" i="16"/>
  <c r="D61" i="16"/>
  <c r="E76" i="16"/>
  <c r="D76" i="16"/>
  <c r="F75" i="16"/>
  <c r="D52" i="16"/>
  <c r="F54" i="16"/>
  <c r="F65" i="16"/>
  <c r="F64" i="16"/>
  <c r="F23" i="16"/>
  <c r="K66" i="16"/>
  <c r="K68" i="16"/>
  <c r="C67" i="16"/>
  <c r="C66" i="16"/>
  <c r="C68" i="16"/>
  <c r="J68" i="16"/>
  <c r="J67" i="16"/>
  <c r="J66" i="16"/>
  <c r="G66" i="16"/>
  <c r="G68" i="16"/>
  <c r="H68" i="16"/>
  <c r="H6" i="16"/>
  <c r="E23" i="16"/>
  <c r="B42" i="16"/>
  <c r="G52" i="16"/>
  <c r="G55" i="16"/>
  <c r="G57" i="16"/>
  <c r="G59" i="16"/>
  <c r="C61" i="16"/>
  <c r="G61" i="16"/>
  <c r="F66" i="16"/>
  <c r="D67" i="16"/>
  <c r="I76" i="16"/>
  <c r="I79" i="16"/>
  <c r="C80" i="16"/>
  <c r="J80" i="16"/>
  <c r="G81" i="16"/>
  <c r="K81" i="16"/>
  <c r="H82" i="16"/>
  <c r="G53" i="16"/>
  <c r="H57" i="16"/>
  <c r="F58" i="16"/>
  <c r="E67" i="16"/>
  <c r="I67" i="16"/>
  <c r="B76" i="16"/>
  <c r="J76" i="16"/>
  <c r="B79" i="16"/>
  <c r="J79" i="16"/>
  <c r="G80" i="16"/>
  <c r="K80" i="16"/>
  <c r="H81" i="16"/>
  <c r="B82" i="16"/>
  <c r="I82" i="16"/>
  <c r="F41" i="16"/>
  <c r="G51" i="16"/>
  <c r="H53" i="16"/>
  <c r="G54" i="16"/>
  <c r="G58" i="16"/>
  <c r="E61" i="16"/>
  <c r="F67" i="16"/>
  <c r="I68" i="16"/>
  <c r="C76" i="16"/>
  <c r="G76" i="16"/>
  <c r="K76" i="16"/>
  <c r="C79" i="16"/>
  <c r="H80" i="16"/>
  <c r="B81" i="16"/>
  <c r="I81" i="16"/>
  <c r="J82" i="16"/>
  <c r="G65" i="16"/>
  <c r="H51" i="16"/>
  <c r="D58" i="16"/>
  <c r="F59" i="16"/>
  <c r="H76" i="16"/>
  <c r="D65" i="5"/>
  <c r="E61" i="5"/>
  <c r="E59" i="5"/>
  <c r="E67" i="5"/>
  <c r="E58" i="5"/>
  <c r="E65" i="5"/>
  <c r="D57" i="5"/>
  <c r="D60" i="5"/>
  <c r="E57" i="5"/>
  <c r="K23" i="2"/>
  <c r="K22" i="2"/>
  <c r="B40" i="16" l="1"/>
  <c r="B69" i="16" s="1"/>
  <c r="D64" i="16"/>
  <c r="E59" i="16"/>
  <c r="E64" i="16"/>
  <c r="E65" i="16"/>
  <c r="D65" i="16"/>
  <c r="E69" i="16"/>
  <c r="E58" i="16"/>
  <c r="B66" i="16"/>
  <c r="B67" i="16"/>
  <c r="G67" i="16"/>
  <c r="H65" i="16"/>
  <c r="H66" i="16"/>
  <c r="H64" i="16"/>
  <c r="H58" i="16"/>
  <c r="H69" i="16"/>
  <c r="H61" i="16"/>
  <c r="H59" i="16"/>
  <c r="H67" i="16"/>
  <c r="H50" i="1"/>
  <c r="G50" i="1"/>
  <c r="H28" i="5" l="1"/>
  <c r="G28" i="5"/>
  <c r="G25" i="5"/>
  <c r="H25" i="5"/>
  <c r="H20" i="5"/>
  <c r="G20" i="5"/>
  <c r="H11" i="5"/>
  <c r="G11" i="5"/>
  <c r="I14" i="2"/>
  <c r="H14" i="2"/>
  <c r="H26" i="1"/>
  <c r="G26" i="1"/>
  <c r="B28" i="5"/>
  <c r="C25" i="5"/>
  <c r="B25" i="5"/>
  <c r="C20" i="5"/>
  <c r="B20" i="5"/>
  <c r="C11" i="5" l="1"/>
  <c r="B11" i="5"/>
  <c r="G14" i="2"/>
  <c r="F14" i="2"/>
  <c r="F26" i="1"/>
  <c r="C13" i="16" s="1"/>
  <c r="E26" i="1"/>
  <c r="B13" i="16" s="1"/>
  <c r="C63" i="5" l="1"/>
  <c r="G63" i="5"/>
  <c r="H63" i="5"/>
  <c r="I63" i="5"/>
  <c r="J63" i="5"/>
  <c r="K63" i="5"/>
  <c r="B63" i="5"/>
  <c r="C62" i="5"/>
  <c r="G62" i="5"/>
  <c r="H62" i="5"/>
  <c r="I62" i="5"/>
  <c r="J62" i="5"/>
  <c r="K62" i="5"/>
  <c r="B62" i="5"/>
  <c r="I61" i="5"/>
  <c r="J61" i="5"/>
  <c r="K61" i="5"/>
  <c r="C60" i="5"/>
  <c r="G60" i="5"/>
  <c r="H60" i="5"/>
  <c r="I60" i="5"/>
  <c r="J60" i="5"/>
  <c r="K60" i="5"/>
  <c r="B60" i="5"/>
  <c r="B48" i="13" l="1"/>
  <c r="C48" i="13" l="1"/>
  <c r="C47" i="13"/>
  <c r="D47" i="13"/>
  <c r="D48" i="13"/>
  <c r="F48" i="13"/>
  <c r="F47" i="13"/>
  <c r="E47" i="13"/>
  <c r="E48" i="13"/>
  <c r="F16" i="2"/>
  <c r="F20" i="2" l="1"/>
  <c r="B17" i="16" s="1"/>
  <c r="B18" i="16"/>
  <c r="I75" i="5"/>
  <c r="J75" i="5"/>
  <c r="K75" i="5"/>
  <c r="H75" i="5"/>
  <c r="G75" i="5"/>
  <c r="C75" i="5"/>
  <c r="B75" i="5"/>
  <c r="B23" i="16" l="1"/>
  <c r="B64" i="16"/>
  <c r="B65" i="16"/>
  <c r="D46" i="1"/>
  <c r="D47" i="1"/>
  <c r="D48" i="1"/>
  <c r="D49" i="1"/>
  <c r="D50" i="1"/>
  <c r="D51" i="1"/>
  <c r="D52" i="1"/>
  <c r="D53" i="1"/>
  <c r="D54" i="1"/>
  <c r="D45" i="1"/>
  <c r="F36" i="1"/>
  <c r="G36" i="1"/>
  <c r="H36" i="1"/>
  <c r="I36" i="1"/>
  <c r="J36" i="1"/>
  <c r="K36" i="1"/>
  <c r="E36" i="1"/>
  <c r="G48" i="13" l="1"/>
  <c r="G47" i="13"/>
  <c r="H48" i="13"/>
  <c r="H47" i="13"/>
  <c r="I59" i="1"/>
  <c r="I50" i="1"/>
  <c r="I57" i="1"/>
  <c r="I48" i="1"/>
  <c r="I52" i="1"/>
  <c r="I45" i="1"/>
  <c r="I47" i="1"/>
  <c r="I51" i="1"/>
  <c r="I46" i="1"/>
  <c r="I54" i="1"/>
  <c r="I58" i="1"/>
  <c r="I56" i="1"/>
  <c r="I49" i="1"/>
  <c r="I53" i="1"/>
  <c r="H58" i="1"/>
  <c r="H56" i="1"/>
  <c r="H49" i="1"/>
  <c r="H45" i="1"/>
  <c r="H47" i="1"/>
  <c r="H51" i="1"/>
  <c r="H59" i="1"/>
  <c r="H46" i="1"/>
  <c r="H54" i="1"/>
  <c r="H53" i="1"/>
  <c r="H57" i="1"/>
  <c r="H48" i="1"/>
  <c r="H52" i="1"/>
  <c r="F45" i="1"/>
  <c r="F47" i="1"/>
  <c r="F54" i="1"/>
  <c r="F56" i="1"/>
  <c r="F49" i="1"/>
  <c r="F53" i="1"/>
  <c r="F57" i="1"/>
  <c r="F48" i="1"/>
  <c r="F52" i="1"/>
  <c r="F51" i="1"/>
  <c r="F59" i="1"/>
  <c r="F46" i="1"/>
  <c r="F50" i="1"/>
  <c r="F58" i="1"/>
  <c r="J45" i="1"/>
  <c r="J51" i="1"/>
  <c r="J59" i="1"/>
  <c r="J46" i="1"/>
  <c r="J50" i="1"/>
  <c r="J58" i="1"/>
  <c r="J49" i="1"/>
  <c r="J53" i="1"/>
  <c r="J57" i="1"/>
  <c r="J48" i="1"/>
  <c r="J52" i="1"/>
  <c r="J47" i="1"/>
  <c r="J54" i="1"/>
  <c r="J56" i="1"/>
  <c r="E59" i="1"/>
  <c r="E56" i="1"/>
  <c r="E46" i="1"/>
  <c r="E54" i="1"/>
  <c r="E58" i="1"/>
  <c r="E49" i="1"/>
  <c r="E53" i="1"/>
  <c r="E45" i="1"/>
  <c r="E48" i="1"/>
  <c r="E52" i="1"/>
  <c r="E47" i="1"/>
  <c r="E51" i="1"/>
  <c r="E50" i="1"/>
  <c r="E57" i="1"/>
  <c r="G57" i="1"/>
  <c r="G48" i="1"/>
  <c r="G45" i="1"/>
  <c r="G46" i="1"/>
  <c r="G54" i="1"/>
  <c r="G58" i="1"/>
  <c r="G56" i="1"/>
  <c r="G49" i="1"/>
  <c r="G53" i="1"/>
  <c r="G52" i="1"/>
  <c r="G47" i="1"/>
  <c r="G51" i="1"/>
  <c r="G59" i="1"/>
  <c r="K57" i="1"/>
  <c r="K52" i="1"/>
  <c r="K59" i="1"/>
  <c r="K47" i="1"/>
  <c r="K51" i="1"/>
  <c r="K46" i="1"/>
  <c r="K50" i="1"/>
  <c r="K54" i="1"/>
  <c r="K58" i="1"/>
  <c r="K56" i="1"/>
  <c r="K49" i="1"/>
  <c r="K53" i="1"/>
  <c r="K48" i="1"/>
  <c r="K45" i="1"/>
  <c r="L16" i="2"/>
  <c r="K16" i="2"/>
  <c r="J16" i="2"/>
  <c r="I16" i="2"/>
  <c r="I20" i="2" s="1"/>
  <c r="H16" i="2"/>
  <c r="H20" i="2" s="1"/>
  <c r="G16" i="2"/>
  <c r="J20" i="2" l="1"/>
  <c r="I17" i="16" s="1"/>
  <c r="I18" i="16"/>
  <c r="L20" i="2"/>
  <c r="K17" i="16" s="1"/>
  <c r="K18" i="16"/>
  <c r="K20" i="2"/>
  <c r="J17" i="16" s="1"/>
  <c r="J18" i="16"/>
  <c r="G20" i="2"/>
  <c r="C17" i="16" s="1"/>
  <c r="C18" i="16"/>
  <c r="K42" i="1"/>
  <c r="K38" i="1" s="1"/>
  <c r="I42" i="1"/>
  <c r="I38" i="1" s="1"/>
  <c r="H42" i="1"/>
  <c r="H38" i="1" s="1"/>
  <c r="G42" i="1"/>
  <c r="G38" i="1" s="1"/>
  <c r="F42" i="1"/>
  <c r="F38" i="1" s="1"/>
  <c r="K40" i="1"/>
  <c r="E42" i="1"/>
  <c r="E38" i="1" s="1"/>
  <c r="F40" i="1"/>
  <c r="G40" i="1"/>
  <c r="E40" i="1"/>
  <c r="J42" i="1"/>
  <c r="J38" i="1" s="1"/>
  <c r="J40" i="1"/>
  <c r="H40" i="1"/>
  <c r="I40" i="1"/>
  <c r="F5" i="13"/>
  <c r="G5" i="13"/>
  <c r="H5" i="5"/>
  <c r="I5" i="5"/>
  <c r="E5" i="13"/>
  <c r="B5" i="5"/>
  <c r="C5" i="5"/>
  <c r="G5" i="5"/>
  <c r="F6" i="5" s="1"/>
  <c r="J5" i="5"/>
  <c r="K5" i="5"/>
  <c r="C5" i="13"/>
  <c r="D5" i="13"/>
  <c r="H5" i="13"/>
  <c r="B5" i="13"/>
  <c r="A16" i="3"/>
  <c r="B33" i="13"/>
  <c r="C33" i="13"/>
  <c r="D33" i="13"/>
  <c r="E33" i="13"/>
  <c r="F33" i="13"/>
  <c r="G33" i="13"/>
  <c r="H33" i="13"/>
  <c r="B34" i="13"/>
  <c r="C34" i="13"/>
  <c r="D34" i="13"/>
  <c r="E34" i="13"/>
  <c r="F34" i="13"/>
  <c r="G34" i="13"/>
  <c r="G78" i="13" s="1"/>
  <c r="H34" i="13"/>
  <c r="B35" i="13"/>
  <c r="C35" i="13"/>
  <c r="D35" i="13"/>
  <c r="E35" i="13"/>
  <c r="F35" i="13"/>
  <c r="G35" i="13"/>
  <c r="H35" i="13"/>
  <c r="B36" i="13"/>
  <c r="C36" i="13"/>
  <c r="D36" i="13"/>
  <c r="E36" i="13"/>
  <c r="F36" i="13"/>
  <c r="G36" i="13"/>
  <c r="H36" i="13"/>
  <c r="F38" i="13"/>
  <c r="G38" i="13"/>
  <c r="H38" i="13"/>
  <c r="B39" i="13"/>
  <c r="B78" i="13" s="1"/>
  <c r="C39" i="13"/>
  <c r="D39" i="13"/>
  <c r="E39" i="13"/>
  <c r="F39" i="13"/>
  <c r="F78" i="13" s="1"/>
  <c r="G39" i="13"/>
  <c r="H39" i="13"/>
  <c r="H78" i="13" s="1"/>
  <c r="F42" i="13"/>
  <c r="G42" i="13"/>
  <c r="H42" i="13"/>
  <c r="B43" i="13"/>
  <c r="C43" i="13"/>
  <c r="D43" i="13"/>
  <c r="E43" i="13"/>
  <c r="F43" i="13"/>
  <c r="G43" i="13"/>
  <c r="H43" i="13"/>
  <c r="B44" i="13"/>
  <c r="C44" i="13"/>
  <c r="D44" i="13"/>
  <c r="E44" i="13"/>
  <c r="F44" i="13"/>
  <c r="G44" i="13"/>
  <c r="H44" i="13"/>
  <c r="B45" i="13"/>
  <c r="C45" i="13"/>
  <c r="D45" i="13"/>
  <c r="E45" i="13"/>
  <c r="F45" i="13"/>
  <c r="G45" i="13"/>
  <c r="H45" i="13"/>
  <c r="B46" i="13"/>
  <c r="C46" i="13"/>
  <c r="D46" i="13"/>
  <c r="E46" i="13"/>
  <c r="F46" i="13"/>
  <c r="G46" i="13"/>
  <c r="H46" i="13"/>
  <c r="B47" i="13"/>
  <c r="B49" i="13"/>
  <c r="C49" i="13"/>
  <c r="D49" i="13"/>
  <c r="E49" i="13"/>
  <c r="F49" i="13"/>
  <c r="G49" i="13"/>
  <c r="H49" i="13"/>
  <c r="C32" i="13"/>
  <c r="D32" i="13"/>
  <c r="E32" i="13"/>
  <c r="F32" i="13"/>
  <c r="G32" i="13"/>
  <c r="H32" i="13"/>
  <c r="B32" i="13"/>
  <c r="B20" i="13"/>
  <c r="C20" i="13"/>
  <c r="D20" i="13"/>
  <c r="E20" i="13"/>
  <c r="F20" i="13"/>
  <c r="G20" i="13"/>
  <c r="H20" i="13"/>
  <c r="B21" i="13"/>
  <c r="C21" i="13"/>
  <c r="D21" i="13"/>
  <c r="E21" i="13"/>
  <c r="F21" i="13"/>
  <c r="G21" i="13"/>
  <c r="H21" i="13"/>
  <c r="B24" i="13"/>
  <c r="C24" i="13"/>
  <c r="D24" i="13"/>
  <c r="E24" i="13"/>
  <c r="F24" i="13"/>
  <c r="G24" i="13"/>
  <c r="H24" i="13"/>
  <c r="B25" i="13"/>
  <c r="C25" i="13"/>
  <c r="D25" i="13"/>
  <c r="E25" i="13"/>
  <c r="F25" i="13"/>
  <c r="G25" i="13"/>
  <c r="H25" i="13"/>
  <c r="B26" i="13"/>
  <c r="C26" i="13"/>
  <c r="D26" i="13"/>
  <c r="E26" i="13"/>
  <c r="F26" i="13"/>
  <c r="G26" i="13"/>
  <c r="H26" i="13"/>
  <c r="B27" i="13"/>
  <c r="C27" i="13"/>
  <c r="D27" i="13"/>
  <c r="E27" i="13"/>
  <c r="F27" i="13"/>
  <c r="G27" i="13"/>
  <c r="H27" i="13"/>
  <c r="B28" i="13"/>
  <c r="C28" i="13"/>
  <c r="D28" i="13"/>
  <c r="E28" i="13"/>
  <c r="F28" i="13"/>
  <c r="G28" i="13"/>
  <c r="H28" i="13"/>
  <c r="B29" i="13"/>
  <c r="C29" i="13"/>
  <c r="D29" i="13"/>
  <c r="E29" i="13"/>
  <c r="F29" i="13"/>
  <c r="G29" i="13"/>
  <c r="H29" i="13"/>
  <c r="C11" i="13"/>
  <c r="D11" i="13"/>
  <c r="E11" i="13"/>
  <c r="F11" i="13"/>
  <c r="G11" i="13"/>
  <c r="H11" i="13"/>
  <c r="B11" i="13"/>
  <c r="C10" i="13"/>
  <c r="D10" i="13"/>
  <c r="E10" i="13"/>
  <c r="F10" i="13"/>
  <c r="G10" i="13"/>
  <c r="H10" i="13"/>
  <c r="B10" i="13"/>
  <c r="H8" i="13"/>
  <c r="G8" i="13"/>
  <c r="F8" i="13"/>
  <c r="E8" i="13"/>
  <c r="D8" i="13"/>
  <c r="C8" i="13"/>
  <c r="B8" i="13"/>
  <c r="H1" i="13"/>
  <c r="G1" i="13"/>
  <c r="F1" i="13"/>
  <c r="E1" i="13"/>
  <c r="D1" i="13"/>
  <c r="C1" i="13"/>
  <c r="B1" i="13"/>
  <c r="C23" i="16" l="1"/>
  <c r="C64" i="16"/>
  <c r="C65" i="16"/>
  <c r="J65" i="16"/>
  <c r="J23" i="16"/>
  <c r="J64" i="16"/>
  <c r="K64" i="16"/>
  <c r="K23" i="16"/>
  <c r="A5" i="5"/>
  <c r="A5" i="16"/>
  <c r="I65" i="16"/>
  <c r="I23" i="16"/>
  <c r="I64" i="16"/>
  <c r="D78" i="13"/>
  <c r="H71" i="13"/>
  <c r="I41" i="1"/>
  <c r="B77" i="13"/>
  <c r="G77" i="13"/>
  <c r="H63" i="13"/>
  <c r="H60" i="13"/>
  <c r="H61" i="13"/>
  <c r="H62" i="13"/>
  <c r="F61" i="13"/>
  <c r="F62" i="13"/>
  <c r="F63" i="13"/>
  <c r="F60" i="13"/>
  <c r="B62" i="13"/>
  <c r="B63" i="13"/>
  <c r="B60" i="13"/>
  <c r="E60" i="13"/>
  <c r="E62" i="13"/>
  <c r="E63" i="13"/>
  <c r="D63" i="13"/>
  <c r="D60" i="13"/>
  <c r="D62" i="13"/>
  <c r="G62" i="13"/>
  <c r="G63" i="13"/>
  <c r="G60" i="13"/>
  <c r="G61" i="13"/>
  <c r="C62" i="13"/>
  <c r="C63" i="13"/>
  <c r="C60" i="13"/>
  <c r="H39" i="1"/>
  <c r="J41" i="1"/>
  <c r="E78" i="13"/>
  <c r="F39" i="1"/>
  <c r="H41" i="1"/>
  <c r="C77" i="13"/>
  <c r="E41" i="1"/>
  <c r="B75" i="13"/>
  <c r="E75" i="13"/>
  <c r="H75" i="13"/>
  <c r="D75" i="13"/>
  <c r="I39" i="1"/>
  <c r="G41" i="1"/>
  <c r="G75" i="13"/>
  <c r="C75" i="13"/>
  <c r="F41" i="1"/>
  <c r="J39" i="1"/>
  <c r="F75" i="13"/>
  <c r="G39" i="1"/>
  <c r="J6" i="5"/>
  <c r="C78" i="13"/>
  <c r="G6" i="13"/>
  <c r="G71" i="13"/>
  <c r="I6" i="5"/>
  <c r="G6" i="5"/>
  <c r="C71" i="13"/>
  <c r="B6" i="13"/>
  <c r="H6" i="5"/>
  <c r="E6" i="13"/>
  <c r="F6" i="13"/>
  <c r="D6" i="13"/>
  <c r="B6" i="5"/>
  <c r="B71" i="13"/>
  <c r="H72" i="13"/>
  <c r="D72" i="13"/>
  <c r="E71" i="13"/>
  <c r="A5" i="13"/>
  <c r="D71" i="13"/>
  <c r="F72" i="13"/>
  <c r="B72" i="13"/>
  <c r="F71" i="13"/>
  <c r="C72" i="13"/>
  <c r="G72" i="13"/>
  <c r="E72" i="13"/>
  <c r="H77" i="13"/>
  <c r="D77" i="13"/>
  <c r="E77" i="13"/>
  <c r="G74" i="13"/>
  <c r="F74" i="13"/>
  <c r="F77" i="13"/>
  <c r="B74" i="13"/>
  <c r="D74" i="13"/>
  <c r="G11" i="3"/>
  <c r="K3" i="16" s="1"/>
  <c r="F11" i="3"/>
  <c r="J3" i="16" s="1"/>
  <c r="E11" i="3"/>
  <c r="I3" i="16" s="1"/>
  <c r="E3" i="13"/>
  <c r="B11" i="3"/>
  <c r="C3" i="16" s="1"/>
  <c r="A11" i="3"/>
  <c r="B3" i="16" s="1"/>
  <c r="E10" i="3"/>
  <c r="I2" i="16" s="1"/>
  <c r="F10" i="3"/>
  <c r="G10" i="3"/>
  <c r="K2" i="16" s="1"/>
  <c r="C1" i="5"/>
  <c r="G1" i="5"/>
  <c r="H1" i="5"/>
  <c r="I1" i="5"/>
  <c r="J1" i="5"/>
  <c r="K1" i="5"/>
  <c r="B1" i="5"/>
  <c r="G2" i="13" l="1"/>
  <c r="J2" i="16"/>
  <c r="J2" i="5"/>
  <c r="C2" i="5"/>
  <c r="C2" i="13"/>
  <c r="B3" i="5"/>
  <c r="B3" i="13"/>
  <c r="B2" i="5"/>
  <c r="B2" i="13"/>
  <c r="H2" i="5"/>
  <c r="E2" i="13"/>
  <c r="C3" i="5"/>
  <c r="C3" i="13"/>
  <c r="K2" i="5"/>
  <c r="H2" i="13"/>
  <c r="G2" i="5"/>
  <c r="D2" i="13"/>
  <c r="G3" i="5"/>
  <c r="D3" i="13"/>
  <c r="K3" i="5"/>
  <c r="H3" i="13"/>
  <c r="I2" i="5"/>
  <c r="F2" i="13"/>
  <c r="H3" i="5"/>
  <c r="I3" i="5"/>
  <c r="F3" i="13"/>
  <c r="J3" i="5"/>
  <c r="G3" i="13"/>
  <c r="B37" i="5"/>
  <c r="B38" i="5" s="1"/>
  <c r="C37" i="5"/>
  <c r="C38" i="5" s="1"/>
  <c r="K37" i="5"/>
  <c r="H37" i="13" s="1"/>
  <c r="H82" i="13" s="1"/>
  <c r="J37" i="5"/>
  <c r="G37" i="13" s="1"/>
  <c r="G82" i="13" s="1"/>
  <c r="I37" i="5"/>
  <c r="F37" i="13" s="1"/>
  <c r="F82" i="13" s="1"/>
  <c r="H37" i="5"/>
  <c r="G37" i="5"/>
  <c r="C37" i="13" l="1"/>
  <c r="C82" i="13" s="1"/>
  <c r="E37" i="13"/>
  <c r="E82" i="13" s="1"/>
  <c r="H38" i="5"/>
  <c r="H61" i="5" s="1"/>
  <c r="D37" i="13"/>
  <c r="D82" i="13" s="1"/>
  <c r="G38" i="5"/>
  <c r="B37" i="13"/>
  <c r="B82" i="13" s="1"/>
  <c r="F67" i="5" l="1"/>
  <c r="F65" i="5"/>
  <c r="D38" i="13"/>
  <c r="G61" i="5"/>
  <c r="C38" i="13"/>
  <c r="C61" i="13" s="1"/>
  <c r="C61" i="5"/>
  <c r="B38" i="13"/>
  <c r="B61" i="13" s="1"/>
  <c r="B61" i="5"/>
  <c r="E38" i="13"/>
  <c r="E61" i="13" s="1"/>
  <c r="I74" i="5"/>
  <c r="J74" i="5"/>
  <c r="J77" i="5"/>
  <c r="K77" i="5"/>
  <c r="J78" i="5"/>
  <c r="K78" i="5"/>
  <c r="J82" i="5"/>
  <c r="K82" i="5"/>
  <c r="J71" i="5"/>
  <c r="K71" i="5"/>
  <c r="J72" i="5"/>
  <c r="K72" i="5"/>
  <c r="J40" i="5"/>
  <c r="K40" i="5"/>
  <c r="J41" i="5"/>
  <c r="G41" i="13" s="1"/>
  <c r="K41" i="5"/>
  <c r="H41" i="13" s="1"/>
  <c r="J18" i="5"/>
  <c r="G18" i="13" s="1"/>
  <c r="K18" i="5"/>
  <c r="H18" i="13" s="1"/>
  <c r="J19" i="5"/>
  <c r="K19" i="5"/>
  <c r="J30" i="5"/>
  <c r="G30" i="13" s="1"/>
  <c r="K30" i="5"/>
  <c r="H30" i="13" s="1"/>
  <c r="J13" i="5"/>
  <c r="G13" i="13" s="1"/>
  <c r="K13" i="5"/>
  <c r="H13" i="13" s="1"/>
  <c r="J14" i="5"/>
  <c r="K14" i="5"/>
  <c r="J8" i="5"/>
  <c r="K8" i="5"/>
  <c r="L4" i="2"/>
  <c r="K4" i="1"/>
  <c r="D61" i="13" l="1"/>
  <c r="K22" i="5"/>
  <c r="H22" i="13" s="1"/>
  <c r="H19" i="13"/>
  <c r="J22" i="5"/>
  <c r="J67" i="5" s="1"/>
  <c r="G19" i="13"/>
  <c r="J69" i="5"/>
  <c r="G40" i="13"/>
  <c r="G69" i="13" s="1"/>
  <c r="K69" i="5"/>
  <c r="H40" i="13"/>
  <c r="H69" i="13" s="1"/>
  <c r="K76" i="5"/>
  <c r="H14" i="13"/>
  <c r="J76" i="5"/>
  <c r="G14" i="13"/>
  <c r="K81" i="5"/>
  <c r="K79" i="5"/>
  <c r="J81" i="5"/>
  <c r="J79" i="5"/>
  <c r="K80" i="5"/>
  <c r="J80" i="5"/>
  <c r="K68" i="5" l="1"/>
  <c r="K66" i="5"/>
  <c r="J66" i="5"/>
  <c r="J68" i="5"/>
  <c r="G22" i="13"/>
  <c r="G68" i="13" s="1"/>
  <c r="H66" i="13"/>
  <c r="H68" i="13"/>
  <c r="H79" i="13"/>
  <c r="H76" i="13"/>
  <c r="H80" i="13"/>
  <c r="H81" i="13"/>
  <c r="G81" i="13"/>
  <c r="G76" i="13"/>
  <c r="G80" i="13"/>
  <c r="G79" i="13"/>
  <c r="G66" i="13" l="1"/>
  <c r="G67" i="13"/>
  <c r="F1" i="2"/>
  <c r="G1" i="1"/>
  <c r="I18" i="5" l="1"/>
  <c r="F18" i="13" s="1"/>
  <c r="H18" i="5"/>
  <c r="E18" i="13" s="1"/>
  <c r="G18" i="5"/>
  <c r="D18" i="13" s="1"/>
  <c r="C18" i="5"/>
  <c r="C18" i="13" s="1"/>
  <c r="B18" i="5"/>
  <c r="B18" i="13" s="1"/>
  <c r="K17" i="5"/>
  <c r="H17" i="13" s="1"/>
  <c r="H64" i="13" s="1"/>
  <c r="J17" i="5"/>
  <c r="G17" i="13" s="1"/>
  <c r="G64" i="13" l="1"/>
  <c r="G65" i="13"/>
  <c r="J64" i="5"/>
  <c r="J65" i="5"/>
  <c r="J23" i="5"/>
  <c r="G23" i="13" s="1"/>
  <c r="K64" i="5"/>
  <c r="K23" i="5"/>
  <c r="H23" i="13" s="1"/>
  <c r="C30" i="5"/>
  <c r="C30" i="13" s="1"/>
  <c r="G30" i="5"/>
  <c r="D30" i="13" s="1"/>
  <c r="H30" i="5"/>
  <c r="E30" i="13" s="1"/>
  <c r="I30" i="5"/>
  <c r="F30" i="13" s="1"/>
  <c r="B30" i="5"/>
  <c r="B30" i="13" s="1"/>
  <c r="C41" i="5" l="1"/>
  <c r="C41" i="13" s="1"/>
  <c r="G41" i="5"/>
  <c r="D41" i="13" s="1"/>
  <c r="H41" i="5"/>
  <c r="E41" i="13" s="1"/>
  <c r="I41" i="5"/>
  <c r="F41" i="13" s="1"/>
  <c r="B41" i="5"/>
  <c r="B41" i="13" s="1"/>
  <c r="C19" i="5" l="1"/>
  <c r="C19" i="13" s="1"/>
  <c r="G19" i="5"/>
  <c r="D19" i="13" s="1"/>
  <c r="H19" i="5"/>
  <c r="E19" i="13" s="1"/>
  <c r="I19" i="5"/>
  <c r="F19" i="13" s="1"/>
  <c r="B19" i="5"/>
  <c r="B19" i="13" s="1"/>
  <c r="I72" i="5" l="1"/>
  <c r="H72" i="5"/>
  <c r="G72" i="5"/>
  <c r="C72" i="5"/>
  <c r="B72" i="5"/>
  <c r="I71" i="5"/>
  <c r="H71" i="5"/>
  <c r="G71" i="5"/>
  <c r="C71" i="5"/>
  <c r="B71" i="5"/>
  <c r="C78" i="5" l="1"/>
  <c r="G78" i="5"/>
  <c r="H78" i="5"/>
  <c r="I78" i="5"/>
  <c r="B78" i="5"/>
  <c r="C77" i="5"/>
  <c r="G77" i="5"/>
  <c r="H77" i="5"/>
  <c r="I77" i="5"/>
  <c r="B77" i="5"/>
  <c r="A8" i="5" l="1"/>
  <c r="I13" i="5"/>
  <c r="F13" i="13" s="1"/>
  <c r="H13" i="5"/>
  <c r="E13" i="13" s="1"/>
  <c r="G13" i="5"/>
  <c r="C13" i="5"/>
  <c r="C13" i="13" s="1"/>
  <c r="B13" i="5"/>
  <c r="B13" i="13" s="1"/>
  <c r="D13" i="13" l="1"/>
  <c r="F53" i="5"/>
  <c r="L18" i="2"/>
  <c r="K18" i="2"/>
  <c r="J18" i="2"/>
  <c r="I18" i="2"/>
  <c r="H18" i="2"/>
  <c r="G18" i="2"/>
  <c r="F18" i="2"/>
  <c r="C8" i="5"/>
  <c r="G8" i="5"/>
  <c r="H8" i="5"/>
  <c r="I8" i="5"/>
  <c r="B8" i="5"/>
  <c r="I14" i="5"/>
  <c r="H14" i="5"/>
  <c r="H42" i="5" s="1"/>
  <c r="E42" i="13" s="1"/>
  <c r="G14" i="5"/>
  <c r="C14" i="5"/>
  <c r="B14" i="5"/>
  <c r="B42" i="5" s="1"/>
  <c r="B42" i="13" s="1"/>
  <c r="G10" i="1"/>
  <c r="B40" i="5"/>
  <c r="C40" i="5"/>
  <c r="G40" i="5"/>
  <c r="D40" i="13" s="1"/>
  <c r="D69" i="13" s="1"/>
  <c r="H40" i="5"/>
  <c r="I40" i="5"/>
  <c r="B74" i="5"/>
  <c r="G74" i="5"/>
  <c r="B82" i="5"/>
  <c r="C82" i="5"/>
  <c r="G82" i="5"/>
  <c r="H82" i="5"/>
  <c r="I82" i="5"/>
  <c r="D14" i="13" l="1"/>
  <c r="G15" i="5"/>
  <c r="D15" i="13" s="1"/>
  <c r="C14" i="13"/>
  <c r="C76" i="13" s="1"/>
  <c r="C42" i="5"/>
  <c r="C42" i="13" s="1"/>
  <c r="G42" i="5"/>
  <c r="C69" i="5"/>
  <c r="C40" i="13"/>
  <c r="C69" i="13" s="1"/>
  <c r="I69" i="5"/>
  <c r="F40" i="13"/>
  <c r="F69" i="13" s="1"/>
  <c r="B69" i="5"/>
  <c r="B40" i="13"/>
  <c r="B69" i="13" s="1"/>
  <c r="H69" i="5"/>
  <c r="E40" i="13"/>
  <c r="E69" i="13" s="1"/>
  <c r="D79" i="13"/>
  <c r="D76" i="13"/>
  <c r="D80" i="13"/>
  <c r="D81" i="13"/>
  <c r="H81" i="5"/>
  <c r="E14" i="13"/>
  <c r="B81" i="5"/>
  <c r="B14" i="13"/>
  <c r="I81" i="5"/>
  <c r="F14" i="13"/>
  <c r="C76" i="5"/>
  <c r="C81" i="5"/>
  <c r="G81" i="5"/>
  <c r="G69" i="5"/>
  <c r="C79" i="5"/>
  <c r="C80" i="5"/>
  <c r="H80" i="5"/>
  <c r="H76" i="5"/>
  <c r="B79" i="5"/>
  <c r="B76" i="5"/>
  <c r="I79" i="5"/>
  <c r="I76" i="5"/>
  <c r="H79" i="5"/>
  <c r="G79" i="5"/>
  <c r="G76" i="5"/>
  <c r="K19" i="2"/>
  <c r="B80" i="5"/>
  <c r="I80" i="5"/>
  <c r="L19" i="2"/>
  <c r="G80" i="5"/>
  <c r="I1" i="2"/>
  <c r="I1" i="1"/>
  <c r="E1" i="2"/>
  <c r="E1" i="1"/>
  <c r="G4" i="2"/>
  <c r="H4" i="2"/>
  <c r="I4" i="2"/>
  <c r="J4" i="2"/>
  <c r="K4" i="2"/>
  <c r="F4" i="2"/>
  <c r="F4" i="1"/>
  <c r="G4" i="1"/>
  <c r="H4" i="1"/>
  <c r="I4" i="1"/>
  <c r="J4" i="1"/>
  <c r="E4" i="1"/>
  <c r="A1" i="2"/>
  <c r="A1" i="1"/>
  <c r="C81" i="13" l="1"/>
  <c r="D42" i="13"/>
  <c r="F42" i="5"/>
  <c r="E42" i="5" s="1"/>
  <c r="D42" i="5" s="1"/>
  <c r="C79" i="13"/>
  <c r="C80" i="13"/>
  <c r="F80" i="13"/>
  <c r="F81" i="13"/>
  <c r="F76" i="13"/>
  <c r="F79" i="13"/>
  <c r="E79" i="13"/>
  <c r="E76" i="13"/>
  <c r="E81" i="13"/>
  <c r="E80" i="13"/>
  <c r="B80" i="13"/>
  <c r="B81" i="13"/>
  <c r="B76" i="13"/>
  <c r="B79" i="13"/>
  <c r="K10" i="1"/>
  <c r="J10" i="1"/>
  <c r="J15" i="16" s="1"/>
  <c r="I10" i="1"/>
  <c r="I15" i="16" s="1"/>
  <c r="H10" i="1"/>
  <c r="H15" i="5" s="1"/>
  <c r="E15" i="13" s="1"/>
  <c r="F10" i="1"/>
  <c r="C15" i="16" s="1"/>
  <c r="E10" i="1"/>
  <c r="B15" i="16" s="1"/>
  <c r="K8" i="1"/>
  <c r="J8" i="1"/>
  <c r="J9" i="1" s="1"/>
  <c r="I8" i="1"/>
  <c r="H8" i="1"/>
  <c r="H9" i="1" s="1"/>
  <c r="G8" i="1"/>
  <c r="F8" i="1"/>
  <c r="E8" i="1"/>
  <c r="K6" i="1"/>
  <c r="G6" i="1"/>
  <c r="K12" i="5" l="1"/>
  <c r="K12" i="16"/>
  <c r="K15" i="5"/>
  <c r="H15" i="13" s="1"/>
  <c r="K15" i="16"/>
  <c r="I6" i="1"/>
  <c r="I15" i="5"/>
  <c r="F15" i="13" s="1"/>
  <c r="K55" i="5"/>
  <c r="K56" i="5"/>
  <c r="K51" i="5"/>
  <c r="K58" i="5"/>
  <c r="K54" i="5"/>
  <c r="K59" i="5"/>
  <c r="H12" i="13"/>
  <c r="K57" i="5"/>
  <c r="J6" i="1"/>
  <c r="I7" i="1" s="1"/>
  <c r="J15" i="5"/>
  <c r="G15" i="13" s="1"/>
  <c r="I9" i="1"/>
  <c r="E9" i="1"/>
  <c r="F6" i="1"/>
  <c r="C12" i="16" s="1"/>
  <c r="C15" i="5"/>
  <c r="C15" i="13" s="1"/>
  <c r="E6" i="1"/>
  <c r="B12" i="16" s="1"/>
  <c r="B15" i="5"/>
  <c r="B15" i="13" s="1"/>
  <c r="H6" i="1"/>
  <c r="H12" i="5" s="1"/>
  <c r="E12" i="13" s="1"/>
  <c r="G12" i="5"/>
  <c r="G9" i="1"/>
  <c r="J7" i="1" l="1"/>
  <c r="J12" i="5"/>
  <c r="J12" i="16"/>
  <c r="K58" i="16"/>
  <c r="K51" i="16"/>
  <c r="K59" i="16"/>
  <c r="K55" i="16"/>
  <c r="K54" i="16"/>
  <c r="K57" i="16"/>
  <c r="K56" i="16"/>
  <c r="B55" i="16"/>
  <c r="B54" i="16"/>
  <c r="B51" i="16"/>
  <c r="B56" i="16"/>
  <c r="B57" i="16"/>
  <c r="B53" i="16"/>
  <c r="B52" i="16"/>
  <c r="B59" i="16"/>
  <c r="B58" i="16"/>
  <c r="I12" i="5"/>
  <c r="I58" i="5" s="1"/>
  <c r="I12" i="16"/>
  <c r="C56" i="16"/>
  <c r="C53" i="16"/>
  <c r="C55" i="16"/>
  <c r="C59" i="16"/>
  <c r="C52" i="16"/>
  <c r="C54" i="16"/>
  <c r="C57" i="16"/>
  <c r="C58" i="16"/>
  <c r="C51" i="16"/>
  <c r="H7" i="1"/>
  <c r="J54" i="5"/>
  <c r="J52" i="5"/>
  <c r="J51" i="5"/>
  <c r="J56" i="5"/>
  <c r="J59" i="5"/>
  <c r="J57" i="5"/>
  <c r="G12" i="13"/>
  <c r="J53" i="5"/>
  <c r="J58" i="5"/>
  <c r="J55" i="5"/>
  <c r="H58" i="13"/>
  <c r="H57" i="13"/>
  <c r="H54" i="13"/>
  <c r="H55" i="13"/>
  <c r="H56" i="13"/>
  <c r="H59" i="13"/>
  <c r="H51" i="13"/>
  <c r="I56" i="5"/>
  <c r="I55" i="5"/>
  <c r="I59" i="5"/>
  <c r="I53" i="5"/>
  <c r="G7" i="1"/>
  <c r="H57" i="5"/>
  <c r="B12" i="5"/>
  <c r="B51" i="5" s="1"/>
  <c r="H58" i="5"/>
  <c r="H53" i="5"/>
  <c r="C12" i="5"/>
  <c r="H54" i="5"/>
  <c r="H59" i="5"/>
  <c r="H55" i="5"/>
  <c r="H56" i="5"/>
  <c r="H51" i="5"/>
  <c r="H52" i="5"/>
  <c r="E51" i="13"/>
  <c r="E56" i="13"/>
  <c r="E59" i="13"/>
  <c r="E55" i="13"/>
  <c r="E53" i="13"/>
  <c r="E52" i="13"/>
  <c r="E57" i="13"/>
  <c r="E54" i="13"/>
  <c r="E58" i="13"/>
  <c r="D12" i="13"/>
  <c r="G55" i="5"/>
  <c r="G53" i="5"/>
  <c r="G57" i="5"/>
  <c r="G59" i="5"/>
  <c r="G56" i="5"/>
  <c r="G52" i="5"/>
  <c r="G51" i="5"/>
  <c r="G58" i="5"/>
  <c r="G54" i="5"/>
  <c r="B17" i="5"/>
  <c r="B17" i="13" s="1"/>
  <c r="B22" i="5"/>
  <c r="B22" i="13" s="1"/>
  <c r="F19" i="2"/>
  <c r="I51" i="5" l="1"/>
  <c r="I53" i="16"/>
  <c r="I59" i="16"/>
  <c r="I55" i="16"/>
  <c r="I51" i="16"/>
  <c r="I56" i="16"/>
  <c r="I58" i="16"/>
  <c r="I52" i="16"/>
  <c r="I57" i="16"/>
  <c r="I54" i="16"/>
  <c r="I57" i="5"/>
  <c r="I54" i="5"/>
  <c r="J59" i="16"/>
  <c r="J58" i="16"/>
  <c r="J54" i="16"/>
  <c r="J51" i="16"/>
  <c r="J55" i="16"/>
  <c r="J57" i="16"/>
  <c r="J56" i="16"/>
  <c r="J53" i="16"/>
  <c r="J52" i="16"/>
  <c r="I52" i="5"/>
  <c r="F12" i="13"/>
  <c r="F59" i="13" s="1"/>
  <c r="B56" i="5"/>
  <c r="B59" i="5"/>
  <c r="B58" i="5"/>
  <c r="B55" i="5"/>
  <c r="B57" i="5"/>
  <c r="B53" i="5"/>
  <c r="B12" i="13"/>
  <c r="B54" i="13" s="1"/>
  <c r="B52" i="5"/>
  <c r="G55" i="13"/>
  <c r="G54" i="13"/>
  <c r="G59" i="13"/>
  <c r="G53" i="13"/>
  <c r="G58" i="13"/>
  <c r="G57" i="13"/>
  <c r="G52" i="13"/>
  <c r="G51" i="13"/>
  <c r="G56" i="13"/>
  <c r="F51" i="13"/>
  <c r="F54" i="13"/>
  <c r="B54" i="5"/>
  <c r="C12" i="13"/>
  <c r="C57" i="5"/>
  <c r="C56" i="5"/>
  <c r="C54" i="5"/>
  <c r="C55" i="5"/>
  <c r="C51" i="5"/>
  <c r="C59" i="5"/>
  <c r="C53" i="5"/>
  <c r="C52" i="5"/>
  <c r="C58" i="5"/>
  <c r="D52" i="13"/>
  <c r="D51" i="13"/>
  <c r="D56" i="13"/>
  <c r="D57" i="13"/>
  <c r="D53" i="13"/>
  <c r="D55" i="13"/>
  <c r="D59" i="13"/>
  <c r="D58" i="13"/>
  <c r="D54" i="13"/>
  <c r="B65" i="13"/>
  <c r="B64" i="13"/>
  <c r="B68" i="13"/>
  <c r="B66" i="13"/>
  <c r="B67" i="13"/>
  <c r="B64" i="5"/>
  <c r="B23" i="5"/>
  <c r="B23" i="13" s="1"/>
  <c r="B68" i="5"/>
  <c r="B66" i="5"/>
  <c r="B67" i="5"/>
  <c r="B65" i="5"/>
  <c r="F55" i="13" l="1"/>
  <c r="F52" i="13"/>
  <c r="F56" i="13"/>
  <c r="F58" i="13"/>
  <c r="F53" i="13"/>
  <c r="F57" i="13"/>
  <c r="B52" i="13"/>
  <c r="B51" i="13"/>
  <c r="B58" i="13"/>
  <c r="B55" i="13"/>
  <c r="B53" i="13"/>
  <c r="B56" i="13"/>
  <c r="B59" i="13"/>
  <c r="B57" i="13"/>
  <c r="C58" i="13"/>
  <c r="C51" i="13"/>
  <c r="C52" i="13"/>
  <c r="C53" i="13"/>
  <c r="C56" i="13"/>
  <c r="C59" i="13"/>
  <c r="C57" i="13"/>
  <c r="C54" i="13"/>
  <c r="C55" i="13"/>
  <c r="C17" i="5" l="1"/>
  <c r="C17" i="13" s="1"/>
  <c r="C22" i="5"/>
  <c r="C22" i="13" s="1"/>
  <c r="G19" i="2"/>
  <c r="C64" i="13" l="1"/>
  <c r="C65" i="13"/>
  <c r="C68" i="13"/>
  <c r="C66" i="13"/>
  <c r="C67" i="13"/>
  <c r="C65" i="5"/>
  <c r="C23" i="5"/>
  <c r="C23" i="13" s="1"/>
  <c r="C68" i="5"/>
  <c r="C67" i="5"/>
  <c r="C66" i="5"/>
  <c r="C64" i="5"/>
  <c r="G17" i="5"/>
  <c r="G22" i="5"/>
  <c r="D22" i="13" s="1"/>
  <c r="H19" i="2"/>
  <c r="G23" i="5" l="1"/>
  <c r="D23" i="13" s="1"/>
  <c r="D17" i="13"/>
  <c r="D66" i="13"/>
  <c r="D67" i="13"/>
  <c r="D68" i="13"/>
  <c r="G64" i="5"/>
  <c r="G65" i="5"/>
  <c r="G67" i="5"/>
  <c r="G66" i="5"/>
  <c r="G68" i="5"/>
  <c r="D65" i="13" l="1"/>
  <c r="D64" i="13"/>
  <c r="H17" i="5"/>
  <c r="H22" i="5"/>
  <c r="E22" i="13" s="1"/>
  <c r="I19" i="2"/>
  <c r="H23" i="5" l="1"/>
  <c r="E23" i="13" s="1"/>
  <c r="E17" i="13"/>
  <c r="E67" i="13"/>
  <c r="E68" i="13"/>
  <c r="E66" i="13"/>
  <c r="H64" i="5"/>
  <c r="H67" i="5"/>
  <c r="H66" i="5"/>
  <c r="H68" i="5"/>
  <c r="H65" i="5"/>
  <c r="E64" i="13" l="1"/>
  <c r="E65" i="13"/>
  <c r="I17" i="5"/>
  <c r="I22" i="5"/>
  <c r="J19" i="2"/>
  <c r="I23" i="5" l="1"/>
  <c r="F23" i="13" s="1"/>
  <c r="F17" i="13"/>
  <c r="I67" i="5"/>
  <c r="F22" i="13"/>
  <c r="I64" i="5"/>
  <c r="I65" i="5"/>
  <c r="I68" i="5"/>
  <c r="I66" i="5"/>
  <c r="F65" i="13" l="1"/>
  <c r="F64" i="13"/>
  <c r="F68" i="13"/>
  <c r="F67" i="13"/>
  <c r="F66" i="13"/>
</calcChain>
</file>

<file path=xl/sharedStrings.xml><?xml version="1.0" encoding="utf-8"?>
<sst xmlns="http://schemas.openxmlformats.org/spreadsheetml/2006/main" count="462" uniqueCount="161">
  <si>
    <t>Net Income</t>
  </si>
  <si>
    <t>Net interest expense</t>
  </si>
  <si>
    <t>DD&amp;A</t>
  </si>
  <si>
    <t>For period ended</t>
  </si>
  <si>
    <t>Tax expense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</si>
  <si>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</si>
  <si>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</si>
  <si>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</si>
  <si>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</si>
  <si>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</si>
  <si>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</si>
  <si>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</si>
  <si>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</si>
  <si>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</si>
  <si>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</si>
  <si>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Clean EBITDA</t>
  </si>
  <si>
    <t>EBITDA</t>
  </si>
  <si>
    <t>Total EBITDA adjustments</t>
  </si>
  <si>
    <t>Adjustment</t>
  </si>
  <si>
    <t>(gain)/loss</t>
  </si>
  <si>
    <t xml:space="preserve">   Variance</t>
  </si>
  <si>
    <t>Note: This cleaner builds EBITDA from Net Income. It adds back losses and expenses and subtracts income and gains.</t>
  </si>
  <si>
    <t>FFO calculator</t>
  </si>
  <si>
    <t>CFO</t>
  </si>
  <si>
    <r>
      <rPr>
        <i/>
        <sz val="11"/>
        <color theme="1"/>
        <rFont val="Calibri"/>
        <family val="2"/>
      </rPr>
      <t>Δ</t>
    </r>
    <r>
      <rPr>
        <i/>
        <sz val="11"/>
        <color theme="1"/>
        <rFont val="Arial"/>
        <family val="2"/>
      </rPr>
      <t xml:space="preserve"> WC</t>
    </r>
  </si>
  <si>
    <t>Total Δ in WC</t>
  </si>
  <si>
    <t>Counterparty</t>
  </si>
  <si>
    <t>Δ in AR</t>
  </si>
  <si>
    <t>Δ in Inv</t>
  </si>
  <si>
    <t>Δ in AP</t>
  </si>
  <si>
    <t>Δ in Unearned Rev.</t>
  </si>
  <si>
    <t>Δ in Taxes Payab.</t>
  </si>
  <si>
    <t>Δ in Deferred Taxes</t>
  </si>
  <si>
    <t>Δ in other NOA</t>
  </si>
  <si>
    <t>FFO</t>
  </si>
  <si>
    <t>Credit Professional</t>
  </si>
  <si>
    <t>For period(s) ended</t>
  </si>
  <si>
    <t>Date prepared</t>
  </si>
  <si>
    <t>Note: Only enter net operating assets (NOA) in WC adjustments</t>
  </si>
  <si>
    <t>Financial Leverage</t>
  </si>
  <si>
    <t>ROA</t>
  </si>
  <si>
    <t>ROE</t>
  </si>
  <si>
    <t>Sales Growth Rate</t>
  </si>
  <si>
    <t>Operating Metrics</t>
  </si>
  <si>
    <t>Current Assets/Current Liab.</t>
  </si>
  <si>
    <t>Current Assets/Total Assets</t>
  </si>
  <si>
    <t>Balance Sheet Analysis</t>
  </si>
  <si>
    <t>Debt/Capital</t>
  </si>
  <si>
    <t>FCF/Debt</t>
  </si>
  <si>
    <t>FFO/Debt</t>
  </si>
  <si>
    <t xml:space="preserve">  Adjusted Net Debt/EBITDA</t>
  </si>
  <si>
    <t>Adjusted Debt/EBITDA</t>
  </si>
  <si>
    <t xml:space="preserve">  Net debt/EBITDA</t>
  </si>
  <si>
    <t>Debt/EBITDA</t>
  </si>
  <si>
    <t>EBITDA/Interest Expense</t>
  </si>
  <si>
    <t>Financial Ratios</t>
  </si>
  <si>
    <t>Net Working Capital</t>
  </si>
  <si>
    <t>Capital</t>
  </si>
  <si>
    <t>Shareholders' Equity</t>
  </si>
  <si>
    <t>Total Debt</t>
  </si>
  <si>
    <t>Total Assets</t>
  </si>
  <si>
    <t>Cash and eq.</t>
  </si>
  <si>
    <t>Balance Sheet</t>
  </si>
  <si>
    <t>Additions to/(Payments of) Debt</t>
  </si>
  <si>
    <t>Share Repo</t>
  </si>
  <si>
    <t>Common Dividends</t>
  </si>
  <si>
    <t xml:space="preserve">Acquisitions </t>
  </si>
  <si>
    <t>FCF</t>
  </si>
  <si>
    <t xml:space="preserve">  of which Maintenance</t>
  </si>
  <si>
    <t>Capex</t>
  </si>
  <si>
    <t xml:space="preserve">  Change in Working Capital</t>
  </si>
  <si>
    <t>Cash Flow</t>
  </si>
  <si>
    <t>Adjusted EBITDA</t>
  </si>
  <si>
    <t>Gross Profit</t>
  </si>
  <si>
    <t>Income Statement</t>
  </si>
  <si>
    <t>AR liquidation</t>
  </si>
  <si>
    <t>Item</t>
  </si>
  <si>
    <t>N/A</t>
  </si>
  <si>
    <t>CFO (net of AR liquidation)</t>
  </si>
  <si>
    <t>Currency</t>
  </si>
  <si>
    <t>Equity Issuance</t>
  </si>
  <si>
    <t>Debt Maturity schedule</t>
  </si>
  <si>
    <t>+1yr</t>
  </si>
  <si>
    <t>+2yr</t>
  </si>
  <si>
    <t>+3yr</t>
  </si>
  <si>
    <t>+4yr</t>
  </si>
  <si>
    <t>+5yr</t>
  </si>
  <si>
    <t>Thereafter</t>
  </si>
  <si>
    <t>Next larger maturity</t>
  </si>
  <si>
    <t>Date of next larger maturity</t>
  </si>
  <si>
    <t>Asset Sales</t>
  </si>
  <si>
    <t>Profit Margin</t>
  </si>
  <si>
    <t>Asset Turnover</t>
  </si>
  <si>
    <t>Equity Multiplier</t>
  </si>
  <si>
    <t>Dividends/FCF</t>
  </si>
  <si>
    <t>Retained Earnings</t>
  </si>
  <si>
    <t>Current Assets (for ratios)</t>
  </si>
  <si>
    <t>Current Liabilities (for ratios)</t>
  </si>
  <si>
    <t>EBIT/Revenue</t>
  </si>
  <si>
    <t>Depreciation (for ratios)</t>
  </si>
  <si>
    <t xml:space="preserve">  FCF/Debt (2yr avg)</t>
  </si>
  <si>
    <t xml:space="preserve">  EBIT/Interest Expense (2yr avg)</t>
  </si>
  <si>
    <t xml:space="preserve">  FFO/Debt (2yr avg)</t>
  </si>
  <si>
    <t>Exceptional Income/(Expense)</t>
  </si>
  <si>
    <t>EBITDA/Revenue</t>
  </si>
  <si>
    <t xml:space="preserve">  EBIT/Revenue (2yr avg)</t>
  </si>
  <si>
    <t>Revenue</t>
  </si>
  <si>
    <t>-</t>
  </si>
  <si>
    <t>Goodwill (for ratios)</t>
  </si>
  <si>
    <t>Other Intangible Assets (for ratios)</t>
  </si>
  <si>
    <t>ROTA</t>
  </si>
  <si>
    <t>Retained Cash Flow</t>
  </si>
  <si>
    <t>Quarters, halfs</t>
  </si>
  <si>
    <t>Fiscal Year End</t>
  </si>
  <si>
    <t>Total Fixed Assets</t>
  </si>
  <si>
    <t xml:space="preserve">  Adjusted Total Debt *</t>
  </si>
  <si>
    <t xml:space="preserve">  Long-Term Debt</t>
  </si>
  <si>
    <t xml:space="preserve">  Short-Term Debt</t>
  </si>
  <si>
    <t>Audited?</t>
  </si>
  <si>
    <t>Auditor</t>
  </si>
  <si>
    <t>Opinion</t>
  </si>
  <si>
    <t>Audited? (Y/N)</t>
  </si>
  <si>
    <t>Accounts receivable (for ratios)</t>
  </si>
  <si>
    <t>Inventory (for ratios)</t>
  </si>
  <si>
    <r>
      <t xml:space="preserve">  Working Capital/Short-Term Debt </t>
    </r>
    <r>
      <rPr>
        <sz val="9"/>
        <color theme="1"/>
        <rFont val="Calibri"/>
        <family val="2"/>
      </rPr>
      <t>⁺</t>
    </r>
  </si>
  <si>
    <t xml:space="preserve">  Working Capital/Long-Term Debt ⁺</t>
  </si>
  <si>
    <t xml:space="preserve">  Working Capital (25% haircut)/Short-Term Debt ⁺</t>
  </si>
  <si>
    <t xml:space="preserve">  Working Capital (25% haircut)/Long-Term Debt ⁺</t>
  </si>
  <si>
    <t>⁺ WC defined as Cash + Inv. + AR. Haircut represents liquidation value estimate</t>
  </si>
  <si>
    <t>* Include: asset retirement obligations, pension provisions and operating leases at 3x</t>
  </si>
  <si>
    <t>Currency USD MM</t>
  </si>
  <si>
    <t xml:space="preserve">  Variance</t>
  </si>
  <si>
    <t>Net Interest Income/(Expense)</t>
  </si>
  <si>
    <t>EBITDA cleaner (Foreign)</t>
  </si>
  <si>
    <t>EBITDA cleaner (USD)</t>
  </si>
  <si>
    <t>Gross Margin</t>
  </si>
  <si>
    <t>Accounts payable (for ratios)</t>
  </si>
  <si>
    <t xml:space="preserve">  Working Capital/Total Debt ⁺</t>
  </si>
  <si>
    <t xml:space="preserve">  Working Capital (25% haircut)/Total Debt ⁺</t>
  </si>
  <si>
    <t>Saras Group</t>
  </si>
  <si>
    <t>12/31/2012</t>
  </si>
  <si>
    <t>12/31/2013</t>
  </si>
  <si>
    <t>H1 2014</t>
  </si>
  <si>
    <t>H1 2013</t>
  </si>
  <si>
    <t>Y</t>
  </si>
  <si>
    <t>PwC</t>
  </si>
  <si>
    <t>Unqualified</t>
  </si>
  <si>
    <t>EUR</t>
  </si>
  <si>
    <t>Unrealized exchange losses/(gains) on bank accounts</t>
  </si>
  <si>
    <t>&gt;100%</t>
  </si>
  <si>
    <t>Recovery for claims and damages</t>
  </si>
  <si>
    <t>&lt;-100%</t>
  </si>
  <si>
    <t>Change in fair value of derivatives, green certificates</t>
  </si>
  <si>
    <t>EBITDA addback due to scheduled refinery maintenance</t>
  </si>
  <si>
    <t>H1 2012</t>
  </si>
  <si>
    <t>FYE 2012</t>
  </si>
  <si>
    <t>LTM H1 2013</t>
  </si>
  <si>
    <t>12/31/2016 E</t>
  </si>
  <si>
    <t>12/31/2015 E</t>
  </si>
  <si>
    <t>12/31/2014 E</t>
  </si>
  <si>
    <t>Numbers  by AlphaValue equity research - 2/9/2014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</si>
</sst>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_-;_-@_-"/>
    <numFmt numFmtId="166" formatCode="##,##0.0_-;\(##,##0.0\);\-_;"/>
    <numFmt numFmtId="167" formatCode="0.0%"/>
    <numFmt numFmtId="168" formatCode="#,##0.0"/>
    <numFmt numFmtId="174" formatCode="0.000"/>
    <numFmt numFmtId="175" formatCode="0.00000%"/>
    <numFmt numFmtId="176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</font>
    <font>
      <b/>
      <i/>
      <sz val="11"/>
      <color theme="0"/>
      <name val="Arial"/>
      <family val="2"/>
    </font>
    <font>
      <sz val="7"/>
      <color theme="1"/>
      <name val="Arial"/>
      <family val="2"/>
    </font>
    <font>
      <b/>
      <sz val="7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/>
    <xf numFmtId="165" fontId="1" fillId="0" borderId="0" xfId="0" applyNumberFormat="1" applyFont="1"/>
    <xf numFmtId="0" fontId="1" fillId="2" borderId="1" xfId="0" applyNumberFormat="1" applyFont="1" applyFill="1" applyBorder="1"/>
    <xf numFmtId="166" fontId="1" fillId="2" borderId="1" xfId="0" applyNumberFormat="1" applyFont="1" applyFill="1" applyBorder="1"/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7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9" fillId="0" borderId="0" xfId="0" applyFont="1"/>
    <xf numFmtId="0" fontId="11" fillId="4" borderId="0" xfId="0" applyFont="1" applyFill="1"/>
    <xf numFmtId="0" fontId="1" fillId="4" borderId="0" xfId="0" applyFont="1" applyFill="1"/>
    <xf numFmtId="0" fontId="12" fillId="0" borderId="0" xfId="0" applyFont="1"/>
    <xf numFmtId="0" fontId="1" fillId="0" borderId="0" xfId="0" applyFont="1"/>
    <xf numFmtId="0" fontId="5" fillId="0" borderId="0" xfId="0" applyFont="1"/>
    <xf numFmtId="0" fontId="1" fillId="2" borderId="1" xfId="0" applyNumberFormat="1" applyFont="1" applyFill="1" applyBorder="1"/>
    <xf numFmtId="166" fontId="1" fillId="2" borderId="1" xfId="0" applyNumberFormat="1" applyFont="1" applyFill="1" applyBorder="1"/>
    <xf numFmtId="0" fontId="7" fillId="0" borderId="0" xfId="0" applyFont="1"/>
    <xf numFmtId="0" fontId="1" fillId="2" borderId="5" xfId="0" applyNumberFormat="1" applyFont="1" applyFill="1" applyBorder="1"/>
    <xf numFmtId="0" fontId="4" fillId="0" borderId="0" xfId="0" applyFont="1"/>
    <xf numFmtId="0" fontId="11" fillId="4" borderId="0" xfId="0" applyFont="1" applyFill="1" applyBorder="1"/>
    <xf numFmtId="0" fontId="1" fillId="0" borderId="0" xfId="0" quotePrefix="1" applyFont="1"/>
    <xf numFmtId="14" fontId="4" fillId="2" borderId="1" xfId="0" applyNumberFormat="1" applyFont="1" applyFill="1" applyBorder="1"/>
    <xf numFmtId="0" fontId="12" fillId="0" borderId="0" xfId="0" applyFont="1" applyAlignment="1">
      <alignment vertical="center"/>
    </xf>
    <xf numFmtId="14" fontId="1" fillId="2" borderId="1" xfId="0" applyNumberFormat="1" applyFont="1" applyFill="1" applyBorder="1" applyAlignment="1">
      <alignment horizontal="right"/>
    </xf>
    <xf numFmtId="0" fontId="1" fillId="2" borderId="8" xfId="0" applyNumberFormat="1" applyFont="1" applyFill="1" applyBorder="1"/>
    <xf numFmtId="0" fontId="12" fillId="0" borderId="0" xfId="0" applyFont="1" applyAlignment="1">
      <alignment horizontal="center" vertical="center"/>
    </xf>
    <xf numFmtId="0" fontId="10" fillId="0" borderId="0" xfId="0" applyFont="1" applyAlignment="1"/>
    <xf numFmtId="0" fontId="12" fillId="0" borderId="7" xfId="0" applyFont="1" applyBorder="1" applyAlignment="1">
      <alignment horizontal="center" vertical="center"/>
    </xf>
    <xf numFmtId="0" fontId="1" fillId="4" borderId="7" xfId="0" applyFont="1" applyFill="1" applyBorder="1"/>
    <xf numFmtId="0" fontId="11" fillId="4" borderId="7" xfId="0" applyFont="1" applyFill="1" applyBorder="1"/>
    <xf numFmtId="174" fontId="1" fillId="0" borderId="0" xfId="0" applyNumberFormat="1" applyFont="1"/>
    <xf numFmtId="175" fontId="12" fillId="0" borderId="0" xfId="0" applyNumberFormat="1" applyFont="1" applyAlignment="1">
      <alignment horizontal="center" vertical="center"/>
    </xf>
    <xf numFmtId="175" fontId="12" fillId="0" borderId="7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/>
    <xf numFmtId="14" fontId="1" fillId="2" borderId="5" xfId="0" applyNumberFormat="1" applyFont="1" applyFill="1" applyBorder="1"/>
    <xf numFmtId="14" fontId="1" fillId="2" borderId="8" xfId="0" applyNumberFormat="1" applyFont="1" applyFill="1" applyBorder="1"/>
    <xf numFmtId="175" fontId="12" fillId="0" borderId="0" xfId="1" applyNumberFormat="1" applyFont="1" applyAlignment="1">
      <alignment horizontal="center" vertical="center"/>
    </xf>
    <xf numFmtId="175" fontId="12" fillId="0" borderId="7" xfId="1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right"/>
    </xf>
    <xf numFmtId="14" fontId="1" fillId="0" borderId="7" xfId="0" applyNumberFormat="1" applyFont="1" applyBorder="1" applyAlignment="1">
      <alignment horizontal="right"/>
    </xf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166" fontId="10" fillId="2" borderId="1" xfId="0" applyNumberFormat="1" applyFont="1" applyFill="1" applyBorder="1" applyAlignment="1">
      <alignment vertical="center"/>
    </xf>
    <xf numFmtId="166" fontId="10" fillId="2" borderId="5" xfId="0" applyNumberFormat="1" applyFont="1" applyFill="1" applyBorder="1" applyAlignment="1">
      <alignment vertical="center"/>
    </xf>
    <xf numFmtId="166" fontId="10" fillId="2" borderId="8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6" fontId="1" fillId="2" borderId="5" xfId="0" applyNumberFormat="1" applyFont="1" applyFill="1" applyBorder="1" applyAlignment="1">
      <alignment vertical="center"/>
    </xf>
    <xf numFmtId="166" fontId="1" fillId="2" borderId="8" xfId="0" applyNumberFormat="1" applyFont="1" applyFill="1" applyBorder="1" applyAlignment="1">
      <alignment vertical="center"/>
    </xf>
    <xf numFmtId="167" fontId="1" fillId="2" borderId="1" xfId="1" applyNumberFormat="1" applyFont="1" applyFill="1" applyBorder="1" applyAlignment="1">
      <alignment vertical="center"/>
    </xf>
    <xf numFmtId="167" fontId="1" fillId="2" borderId="5" xfId="1" applyNumberFormat="1" applyFont="1" applyFill="1" applyBorder="1" applyAlignment="1">
      <alignment vertical="center"/>
    </xf>
    <xf numFmtId="167" fontId="1" fillId="2" borderId="8" xfId="1" applyNumberFormat="1" applyFont="1" applyFill="1" applyBorder="1" applyAlignment="1">
      <alignment vertical="center"/>
    </xf>
    <xf numFmtId="9" fontId="10" fillId="2" borderId="1" xfId="1" applyFont="1" applyFill="1" applyBorder="1" applyAlignment="1">
      <alignment vertical="center"/>
    </xf>
    <xf numFmtId="9" fontId="10" fillId="2" borderId="5" xfId="1" applyFont="1" applyFill="1" applyBorder="1" applyAlignment="1">
      <alignment vertical="center"/>
    </xf>
    <xf numFmtId="9" fontId="10" fillId="2" borderId="8" xfId="1" applyFont="1" applyFill="1" applyBorder="1" applyAlignment="1">
      <alignment vertical="center"/>
    </xf>
    <xf numFmtId="9" fontId="1" fillId="2" borderId="1" xfId="1" applyFont="1" applyFill="1" applyBorder="1" applyAlignment="1">
      <alignment vertical="center"/>
    </xf>
    <xf numFmtId="9" fontId="1" fillId="2" borderId="5" xfId="1" applyFont="1" applyFill="1" applyBorder="1" applyAlignment="1">
      <alignment vertical="center"/>
    </xf>
    <xf numFmtId="9" fontId="1" fillId="2" borderId="8" xfId="1" applyFont="1" applyFill="1" applyBorder="1" applyAlignment="1">
      <alignment vertical="center"/>
    </xf>
    <xf numFmtId="166" fontId="1" fillId="3" borderId="1" xfId="0" applyNumberFormat="1" applyFont="1" applyFill="1" applyBorder="1" applyAlignment="1">
      <alignment vertical="center"/>
    </xf>
    <xf numFmtId="9" fontId="7" fillId="0" borderId="1" xfId="1" applyFont="1" applyFill="1" applyBorder="1" applyAlignment="1">
      <alignment vertical="center"/>
    </xf>
    <xf numFmtId="166" fontId="7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Fill="1" applyBorder="1" applyAlignment="1">
      <alignment vertical="center"/>
    </xf>
    <xf numFmtId="166" fontId="1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/>
    <xf numFmtId="9" fontId="7" fillId="0" borderId="1" xfId="1" applyFont="1" applyFill="1" applyBorder="1" applyAlignment="1">
      <alignment horizontal="right" vertical="center"/>
    </xf>
    <xf numFmtId="166" fontId="1" fillId="2" borderId="10" xfId="0" applyNumberFormat="1" applyFont="1" applyFill="1" applyBorder="1" applyAlignment="1">
      <alignment vertical="center"/>
    </xf>
    <xf numFmtId="166" fontId="1" fillId="2" borderId="4" xfId="0" applyNumberFormat="1" applyFont="1" applyFill="1" applyBorder="1" applyAlignment="1">
      <alignment vertical="center"/>
    </xf>
    <xf numFmtId="166" fontId="1" fillId="2" borderId="6" xfId="0" applyNumberFormat="1" applyFont="1" applyFill="1" applyBorder="1" applyAlignment="1">
      <alignment vertical="center"/>
    </xf>
    <xf numFmtId="166" fontId="1" fillId="2" borderId="9" xfId="0" applyNumberFormat="1" applyFont="1" applyFill="1" applyBorder="1" applyAlignment="1">
      <alignment vertical="center"/>
    </xf>
    <xf numFmtId="164" fontId="1" fillId="0" borderId="0" xfId="2" applyFont="1"/>
    <xf numFmtId="176" fontId="1" fillId="0" borderId="0" xfId="0" applyNumberFormat="1" applyFont="1"/>
    <xf numFmtId="175" fontId="12" fillId="0" borderId="0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right" vertical="center"/>
    </xf>
    <xf numFmtId="0" fontId="1" fillId="4" borderId="12" xfId="0" applyFont="1" applyFill="1" applyBorder="1"/>
    <xf numFmtId="0" fontId="11" fillId="4" borderId="13" xfId="0" applyFont="1" applyFill="1" applyBorder="1"/>
    <xf numFmtId="166" fontId="5" fillId="2" borderId="1" xfId="0" applyNumberFormat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right" vertical="center"/>
    </xf>
    <xf numFmtId="0" fontId="5" fillId="4" borderId="0" xfId="0" applyFont="1" applyFill="1"/>
    <xf numFmtId="166" fontId="12" fillId="2" borderId="1" xfId="0" applyNumberFormat="1" applyFont="1" applyFill="1" applyBorder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167" fontId="5" fillId="2" borderId="1" xfId="1" applyNumberFormat="1" applyFont="1" applyFill="1" applyBorder="1" applyAlignment="1">
      <alignment vertical="center"/>
    </xf>
    <xf numFmtId="9" fontId="12" fillId="2" borderId="1" xfId="1" applyFont="1" applyFill="1" applyBorder="1" applyAlignment="1">
      <alignment vertical="center"/>
    </xf>
    <xf numFmtId="9" fontId="5" fillId="2" borderId="1" xfId="1" applyFont="1" applyFill="1" applyBorder="1" applyAlignment="1">
      <alignment vertical="center"/>
    </xf>
    <xf numFmtId="0" fontId="5" fillId="4" borderId="1" xfId="0" applyFont="1" applyFill="1" applyBorder="1"/>
    <xf numFmtId="0" fontId="5" fillId="4" borderId="0" xfId="0" applyFont="1" applyFill="1" applyBorder="1"/>
    <xf numFmtId="9" fontId="5" fillId="2" borderId="1" xfId="1" applyFont="1" applyFill="1" applyBorder="1" applyAlignment="1">
      <alignment horizontal="right" vertical="center"/>
    </xf>
    <xf numFmtId="9" fontId="5" fillId="2" borderId="4" xfId="1" applyFont="1" applyFill="1" applyBorder="1" applyAlignment="1">
      <alignment horizontal="right" vertical="center"/>
    </xf>
    <xf numFmtId="9" fontId="5" fillId="2" borderId="3" xfId="1" applyFont="1" applyFill="1" applyBorder="1" applyAlignment="1">
      <alignment horizontal="right" vertical="center"/>
    </xf>
    <xf numFmtId="166" fontId="5" fillId="2" borderId="4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vertical="center"/>
    </xf>
    <xf numFmtId="0" fontId="14" fillId="4" borderId="0" xfId="0" applyFont="1" applyFill="1"/>
    <xf numFmtId="0" fontId="14" fillId="4" borderId="0" xfId="0" applyFont="1" applyFill="1" applyBorder="1"/>
    <xf numFmtId="14" fontId="7" fillId="0" borderId="0" xfId="0" applyNumberFormat="1" applyFont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right" vertical="center"/>
    </xf>
    <xf numFmtId="166" fontId="12" fillId="2" borderId="5" xfId="0" applyNumberFormat="1" applyFont="1" applyFill="1" applyBorder="1" applyAlignment="1">
      <alignment vertical="center"/>
    </xf>
    <xf numFmtId="167" fontId="5" fillId="2" borderId="5" xfId="1" applyNumberFormat="1" applyFont="1" applyFill="1" applyBorder="1" applyAlignment="1">
      <alignment vertical="center"/>
    </xf>
    <xf numFmtId="9" fontId="12" fillId="2" borderId="5" xfId="1" applyFont="1" applyFill="1" applyBorder="1" applyAlignment="1">
      <alignment vertical="center"/>
    </xf>
    <xf numFmtId="9" fontId="5" fillId="2" borderId="5" xfId="1" applyFont="1" applyFill="1" applyBorder="1" applyAlignment="1">
      <alignment vertical="center"/>
    </xf>
    <xf numFmtId="9" fontId="5" fillId="2" borderId="5" xfId="1" applyFont="1" applyFill="1" applyBorder="1" applyAlignment="1">
      <alignment horizontal="right" vertical="center"/>
    </xf>
    <xf numFmtId="166" fontId="10" fillId="2" borderId="10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</cellXfs>
  <cellStyles count="4">
    <cellStyle name="Comma" xfId="2" builtinId="3"/>
    <cellStyle name="Comma 2" xfId="3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aida/AppData/Local/Microsoft/Windows/Temporary%20Internet%20Files/Content.Outlook/Q28UIFQD/Financial%20Ratings%20Template%20DRAFT%201%201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- Base Currency"/>
      <sheetName val="IS &amp; CFS - Base Currency"/>
      <sheetName val="BS - Alt Currency"/>
      <sheetName val="IS &amp; CFS - Alt Currency"/>
      <sheetName val="Ratios"/>
      <sheetName val="Rating"/>
      <sheetName val="Reference Data"/>
    </sheetNames>
    <sheetDataSet>
      <sheetData sheetId="0">
        <row r="8">
          <cell r="C8"/>
          <cell r="D8" t="str">
            <v>-</v>
          </cell>
          <cell r="E8" t="str">
            <v>-</v>
          </cell>
          <cell r="F8"/>
          <cell r="G8" t="str">
            <v>-</v>
          </cell>
          <cell r="H8"/>
          <cell r="I8" t="str">
            <v>-</v>
          </cell>
          <cell r="J8" t="str">
            <v>-</v>
          </cell>
          <cell r="K8"/>
          <cell r="L8" t="str">
            <v>-</v>
          </cell>
          <cell r="M8" t="str">
            <v>-</v>
          </cell>
          <cell r="N8"/>
        </row>
        <row r="10">
          <cell r="C10"/>
          <cell r="D10" t="str">
            <v>-</v>
          </cell>
          <cell r="E10" t="str">
            <v>-</v>
          </cell>
          <cell r="F10"/>
          <cell r="G10" t="str">
            <v>-</v>
          </cell>
          <cell r="H10"/>
          <cell r="I10" t="str">
            <v>-</v>
          </cell>
          <cell r="J10" t="str">
            <v>-</v>
          </cell>
          <cell r="K10"/>
          <cell r="L10" t="str">
            <v>-</v>
          </cell>
          <cell r="M10" t="str">
            <v>-</v>
          </cell>
          <cell r="N10"/>
        </row>
        <row r="14">
          <cell r="C14">
            <v>0</v>
          </cell>
          <cell r="D14" t="str">
            <v>-</v>
          </cell>
          <cell r="E14" t="str">
            <v>-</v>
          </cell>
          <cell r="F14">
            <v>0</v>
          </cell>
          <cell r="G14" t="str">
            <v>-</v>
          </cell>
          <cell r="H14">
            <v>0</v>
          </cell>
          <cell r="I14" t="str">
            <v>-</v>
          </cell>
          <cell r="J14" t="str">
            <v>-</v>
          </cell>
          <cell r="K14">
            <v>0</v>
          </cell>
          <cell r="L14" t="str">
            <v>-</v>
          </cell>
          <cell r="M14" t="str">
            <v>-</v>
          </cell>
          <cell r="N14">
            <v>0</v>
          </cell>
        </row>
        <row r="27">
          <cell r="C27">
            <v>0</v>
          </cell>
          <cell r="D27" t="str">
            <v>-</v>
          </cell>
          <cell r="E27" t="str">
            <v>-</v>
          </cell>
          <cell r="F27">
            <v>0</v>
          </cell>
          <cell r="G27" t="str">
            <v>-</v>
          </cell>
          <cell r="H27">
            <v>0</v>
          </cell>
          <cell r="I27" t="str">
            <v>-</v>
          </cell>
          <cell r="J27" t="str">
            <v>-</v>
          </cell>
          <cell r="K27">
            <v>0</v>
          </cell>
          <cell r="L27" t="str">
            <v>-</v>
          </cell>
          <cell r="M27" t="str">
            <v>-</v>
          </cell>
          <cell r="N27">
            <v>0</v>
          </cell>
          <cell r="O27" t="str">
            <v>-</v>
          </cell>
        </row>
        <row r="38">
          <cell r="C38">
            <v>0</v>
          </cell>
          <cell r="D38" t="str">
            <v>-</v>
          </cell>
          <cell r="E38" t="str">
            <v>-</v>
          </cell>
          <cell r="F38">
            <v>0</v>
          </cell>
          <cell r="G38" t="str">
            <v>-</v>
          </cell>
          <cell r="H38">
            <v>0</v>
          </cell>
          <cell r="I38" t="str">
            <v>-</v>
          </cell>
          <cell r="J38" t="str">
            <v>-</v>
          </cell>
          <cell r="K38">
            <v>0</v>
          </cell>
          <cell r="L38" t="str">
            <v>-</v>
          </cell>
          <cell r="M38" t="str">
            <v>-</v>
          </cell>
          <cell r="N38">
            <v>0</v>
          </cell>
        </row>
        <row r="58">
          <cell r="C58">
            <v>0</v>
          </cell>
          <cell r="D58" t="str">
            <v>-</v>
          </cell>
          <cell r="E58" t="str">
            <v>-</v>
          </cell>
          <cell r="F58">
            <v>0</v>
          </cell>
          <cell r="G58" t="str">
            <v>-</v>
          </cell>
          <cell r="H58">
            <v>0</v>
          </cell>
          <cell r="I58" t="str">
            <v>-</v>
          </cell>
          <cell r="J58" t="str">
            <v>-</v>
          </cell>
          <cell r="K58">
            <v>0</v>
          </cell>
          <cell r="L58" t="str">
            <v>-</v>
          </cell>
          <cell r="M58" t="str">
            <v>-</v>
          </cell>
          <cell r="N58">
            <v>0</v>
          </cell>
        </row>
        <row r="66">
          <cell r="C66">
            <v>0</v>
          </cell>
          <cell r="D66"/>
          <cell r="E66"/>
          <cell r="F66">
            <v>0</v>
          </cell>
          <cell r="G66"/>
          <cell r="H66">
            <v>0</v>
          </cell>
          <cell r="I66"/>
          <cell r="J66"/>
          <cell r="K66">
            <v>0</v>
          </cell>
          <cell r="L66"/>
          <cell r="M66"/>
          <cell r="N66">
            <v>0</v>
          </cell>
        </row>
        <row r="67">
          <cell r="C67">
            <v>0</v>
          </cell>
          <cell r="D67"/>
          <cell r="E67"/>
          <cell r="F67">
            <v>0</v>
          </cell>
          <cell r="G67"/>
          <cell r="H67">
            <v>0</v>
          </cell>
          <cell r="I67"/>
          <cell r="J67"/>
          <cell r="K67">
            <v>0</v>
          </cell>
          <cell r="L67"/>
          <cell r="M67"/>
          <cell r="N67">
            <v>0</v>
          </cell>
        </row>
        <row r="68">
          <cell r="C68">
            <v>0</v>
          </cell>
          <cell r="F68">
            <v>0</v>
          </cell>
          <cell r="H68">
            <v>0</v>
          </cell>
          <cell r="K68">
            <v>0</v>
          </cell>
          <cell r="N68">
            <v>0</v>
          </cell>
        </row>
      </sheetData>
      <sheetData sheetId="1">
        <row r="7">
          <cell r="C7"/>
          <cell r="D7" t="str">
            <v>-</v>
          </cell>
          <cell r="E7" t="str">
            <v>-</v>
          </cell>
          <cell r="F7"/>
          <cell r="G7" t="str">
            <v>-</v>
          </cell>
          <cell r="H7"/>
          <cell r="I7" t="str">
            <v>-</v>
          </cell>
          <cell r="J7" t="str">
            <v>-</v>
          </cell>
          <cell r="K7"/>
          <cell r="L7" t="str">
            <v>-</v>
          </cell>
          <cell r="M7" t="str">
            <v>-</v>
          </cell>
          <cell r="N7"/>
        </row>
        <row r="9">
          <cell r="C9">
            <v>0</v>
          </cell>
          <cell r="D9" t="str">
            <v>-</v>
          </cell>
          <cell r="E9" t="str">
            <v>-</v>
          </cell>
          <cell r="F9">
            <v>0</v>
          </cell>
          <cell r="G9" t="str">
            <v>-</v>
          </cell>
          <cell r="H9">
            <v>0</v>
          </cell>
          <cell r="I9" t="str">
            <v>-</v>
          </cell>
          <cell r="J9" t="str">
            <v>-</v>
          </cell>
          <cell r="K9">
            <v>0</v>
          </cell>
          <cell r="L9" t="str">
            <v>-</v>
          </cell>
          <cell r="M9" t="str">
            <v>-</v>
          </cell>
          <cell r="N9">
            <v>0</v>
          </cell>
        </row>
        <row r="16">
          <cell r="C16">
            <v>0</v>
          </cell>
          <cell r="D16" t="str">
            <v>-</v>
          </cell>
          <cell r="E16" t="str">
            <v>-</v>
          </cell>
          <cell r="F16">
            <v>0</v>
          </cell>
          <cell r="G16" t="str">
            <v>-</v>
          </cell>
          <cell r="H16">
            <v>0</v>
          </cell>
          <cell r="I16" t="str">
            <v>-</v>
          </cell>
          <cell r="J16" t="str">
            <v>-</v>
          </cell>
          <cell r="K16">
            <v>0</v>
          </cell>
          <cell r="L16" t="str">
            <v>-</v>
          </cell>
          <cell r="M16" t="str">
            <v>-</v>
          </cell>
          <cell r="N16">
            <v>0</v>
          </cell>
        </row>
        <row r="18">
          <cell r="C18"/>
          <cell r="D18" t="str">
            <v>-</v>
          </cell>
          <cell r="E18" t="str">
            <v>-</v>
          </cell>
          <cell r="F18"/>
          <cell r="G18" t="str">
            <v>-</v>
          </cell>
          <cell r="H18"/>
          <cell r="I18" t="str">
            <v>-</v>
          </cell>
          <cell r="J18" t="str">
            <v>-</v>
          </cell>
          <cell r="K18"/>
          <cell r="L18" t="str">
            <v>-</v>
          </cell>
          <cell r="M18" t="str">
            <v>-</v>
          </cell>
          <cell r="N18"/>
        </row>
        <row r="26">
          <cell r="C26">
            <v>0</v>
          </cell>
          <cell r="D26" t="str">
            <v>-</v>
          </cell>
          <cell r="E26" t="str">
            <v>-</v>
          </cell>
          <cell r="F26">
            <v>0</v>
          </cell>
          <cell r="G26" t="str">
            <v>-</v>
          </cell>
          <cell r="H26">
            <v>0</v>
          </cell>
          <cell r="I26" t="str">
            <v>-</v>
          </cell>
          <cell r="J26" t="str">
            <v>-</v>
          </cell>
          <cell r="K26">
            <v>0</v>
          </cell>
          <cell r="L26" t="str">
            <v>-</v>
          </cell>
          <cell r="M26" t="str">
            <v>-</v>
          </cell>
          <cell r="N26">
            <v>0</v>
          </cell>
        </row>
        <row r="34">
          <cell r="C34">
            <v>0</v>
          </cell>
          <cell r="D34"/>
          <cell r="E34"/>
          <cell r="F34">
            <v>0</v>
          </cell>
          <cell r="G34"/>
          <cell r="H34">
            <v>0</v>
          </cell>
          <cell r="I34"/>
          <cell r="J34"/>
          <cell r="K34">
            <v>0</v>
          </cell>
          <cell r="L34"/>
          <cell r="M34"/>
          <cell r="N34">
            <v>0</v>
          </cell>
        </row>
        <row r="62">
          <cell r="C62">
            <v>0</v>
          </cell>
          <cell r="D62"/>
          <cell r="E62"/>
          <cell r="F62">
            <v>0</v>
          </cell>
          <cell r="G62"/>
          <cell r="H62">
            <v>0</v>
          </cell>
          <cell r="I62"/>
          <cell r="J62"/>
          <cell r="K62">
            <v>0</v>
          </cell>
          <cell r="L62"/>
          <cell r="M62"/>
          <cell r="N62">
            <v>0</v>
          </cell>
        </row>
        <row r="63">
          <cell r="C63">
            <v>0</v>
          </cell>
          <cell r="D63"/>
          <cell r="E63"/>
          <cell r="F63">
            <v>0</v>
          </cell>
          <cell r="G63"/>
          <cell r="H63">
            <v>0</v>
          </cell>
          <cell r="I63"/>
          <cell r="J63"/>
          <cell r="K63">
            <v>0</v>
          </cell>
          <cell r="L63"/>
          <cell r="M63"/>
          <cell r="N63">
            <v>0</v>
          </cell>
        </row>
      </sheetData>
      <sheetData sheetId="2">
        <row r="6">
          <cell r="B6" t="str">
            <v>Counterparty name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7"/>
  <sheetViews>
    <sheetView tabSelected="1" view="pageBreakPreview" zoomScale="130" zoomScaleNormal="115" zoomScaleSheetLayoutView="130" workbookViewId="0">
      <selection activeCell="B9" sqref="B9"/>
    </sheetView>
  </sheetViews>
  <sheetFormatPr baseColWidth="10" defaultColWidth="9.1640625" defaultRowHeight="14" x14ac:dyDescent="0.15"/>
  <cols>
    <col min="1" max="7" width="12.33203125" style="1" customWidth="1"/>
    <col min="8" max="8" width="14.33203125" style="1" customWidth="1"/>
    <col min="9" max="16384" width="9.1640625" style="1"/>
  </cols>
  <sheetData>
    <row r="1" spans="1:8" x14ac:dyDescent="0.15">
      <c r="A1" s="1" t="s">
        <v>35</v>
      </c>
    </row>
    <row r="2" spans="1:8" x14ac:dyDescent="0.15">
      <c r="A2" s="7"/>
    </row>
    <row r="3" spans="1:8" x14ac:dyDescent="0.15">
      <c r="A3" s="1" t="s">
        <v>26</v>
      </c>
    </row>
    <row r="4" spans="1:8" x14ac:dyDescent="0.15">
      <c r="A4" s="23" t="s">
        <v>139</v>
      </c>
      <c r="B4" s="46"/>
      <c r="C4" s="46"/>
      <c r="D4" s="46"/>
      <c r="E4" s="46"/>
      <c r="F4" s="46"/>
      <c r="G4" s="47"/>
    </row>
    <row r="5" spans="1:8" x14ac:dyDescent="0.15">
      <c r="A5" s="1" t="s">
        <v>36</v>
      </c>
    </row>
    <row r="6" spans="1:8" s="18" customFormat="1" ht="8.25" customHeight="1" x14ac:dyDescent="0.15"/>
    <row r="7" spans="1:8" s="18" customFormat="1" x14ac:dyDescent="0.15">
      <c r="A7" s="110" t="s">
        <v>112</v>
      </c>
      <c r="B7" s="111"/>
      <c r="C7" s="112" t="s">
        <v>113</v>
      </c>
      <c r="D7" s="111"/>
      <c r="E7" s="111"/>
      <c r="F7" s="111"/>
      <c r="G7" s="113"/>
    </row>
    <row r="8" spans="1:8" x14ac:dyDescent="0.15">
      <c r="A8" s="39" t="s">
        <v>142</v>
      </c>
      <c r="B8" s="40" t="s">
        <v>143</v>
      </c>
      <c r="C8" s="41" t="s">
        <v>141</v>
      </c>
      <c r="D8" s="39" t="s">
        <v>140</v>
      </c>
      <c r="E8" s="39"/>
      <c r="F8" s="39"/>
      <c r="G8" s="39"/>
    </row>
    <row r="9" spans="1:8" s="18" customFormat="1" x14ac:dyDescent="0.15">
      <c r="A9" s="20" t="s">
        <v>144</v>
      </c>
      <c r="B9" s="23" t="s">
        <v>144</v>
      </c>
      <c r="C9" s="30" t="s">
        <v>144</v>
      </c>
      <c r="D9" s="20" t="s">
        <v>144</v>
      </c>
      <c r="E9" s="20"/>
      <c r="F9" s="20"/>
      <c r="G9" s="20"/>
      <c r="H9" s="18" t="s">
        <v>121</v>
      </c>
    </row>
    <row r="10" spans="1:8" s="18" customFormat="1" x14ac:dyDescent="0.15">
      <c r="A10" s="20" t="s">
        <v>145</v>
      </c>
      <c r="B10" s="23" t="s">
        <v>145</v>
      </c>
      <c r="C10" s="23" t="s">
        <v>145</v>
      </c>
      <c r="D10" s="23" t="s">
        <v>145</v>
      </c>
      <c r="E10" s="20" t="str">
        <f t="shared" ref="E10:G10" si="0">IF(E9="N","N/A","Auditor")</f>
        <v>Auditor</v>
      </c>
      <c r="F10" s="20" t="str">
        <f t="shared" si="0"/>
        <v>Auditor</v>
      </c>
      <c r="G10" s="20" t="str">
        <f t="shared" si="0"/>
        <v>Auditor</v>
      </c>
      <c r="H10" s="18" t="s">
        <v>119</v>
      </c>
    </row>
    <row r="11" spans="1:8" s="18" customFormat="1" x14ac:dyDescent="0.15">
      <c r="A11" s="20" t="str">
        <f>IF(A9="N","N/A","Opinion")</f>
        <v>Opinion</v>
      </c>
      <c r="B11" s="23" t="str">
        <f t="shared" ref="B11:G11" si="1">IF(B9="N","N/A","Opinion")</f>
        <v>Opinion</v>
      </c>
      <c r="C11" s="20" t="s">
        <v>146</v>
      </c>
      <c r="D11" s="20" t="s">
        <v>146</v>
      </c>
      <c r="E11" s="20" t="str">
        <f t="shared" si="1"/>
        <v>Opinion</v>
      </c>
      <c r="F11" s="20" t="str">
        <f t="shared" si="1"/>
        <v>Opinion</v>
      </c>
      <c r="G11" s="20" t="str">
        <f t="shared" si="1"/>
        <v>Opinion</v>
      </c>
      <c r="H11" s="18" t="s">
        <v>120</v>
      </c>
    </row>
    <row r="12" spans="1:8" x14ac:dyDescent="0.15">
      <c r="A12" s="1" t="s">
        <v>37</v>
      </c>
    </row>
    <row r="13" spans="1:8" x14ac:dyDescent="0.15">
      <c r="A13" s="29">
        <v>41928</v>
      </c>
    </row>
    <row r="14" spans="1:8" x14ac:dyDescent="0.15">
      <c r="A14" s="1" t="s">
        <v>79</v>
      </c>
    </row>
    <row r="15" spans="1:8" x14ac:dyDescent="0.15">
      <c r="A15" s="20" t="s">
        <v>147</v>
      </c>
    </row>
    <row r="16" spans="1:8" x14ac:dyDescent="0.15">
      <c r="A16" s="1" t="str">
        <f>"Average exchange rate ("&amp;A15&amp;"/USD)"</f>
        <v>Average exchange rate (EUR/USD)</v>
      </c>
    </row>
    <row r="17" spans="1:7" x14ac:dyDescent="0.15">
      <c r="A17" s="20">
        <v>0.72943000000000002</v>
      </c>
      <c r="B17" s="20">
        <v>0.76166500000000004</v>
      </c>
      <c r="C17" s="20">
        <v>0.75324000000000002</v>
      </c>
      <c r="D17" s="20">
        <v>0.77815499999999993</v>
      </c>
      <c r="E17" s="20">
        <v>0.71886499999999998</v>
      </c>
      <c r="F17" s="20">
        <v>0.75475999999999999</v>
      </c>
      <c r="G17" s="20">
        <v>0.719055</v>
      </c>
    </row>
  </sheetData>
  <mergeCells count="2">
    <mergeCell ref="A7:B7"/>
    <mergeCell ref="C7:G7"/>
  </mergeCells>
  <pageMargins left="0.7" right="0.7" top="0.75" bottom="0.75" header="0.3" footer="0.3"/>
  <pageSetup paperSize="9" scale="87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62"/>
  <sheetViews>
    <sheetView view="pageBreakPreview" topLeftCell="P19" zoomScaleNormal="115" zoomScaleSheetLayoutView="100" workbookViewId="0">
      <selection activeCell="E18" sqref="E18"/>
    </sheetView>
  </sheetViews>
  <sheetFormatPr baseColWidth="10" defaultColWidth="9.1640625" defaultRowHeight="14" outlineLevelCol="1" x14ac:dyDescent="0.15"/>
  <cols>
    <col min="1" max="1" width="9.1640625" style="1"/>
    <col min="2" max="2" width="4.1640625" style="1" customWidth="1"/>
    <col min="3" max="3" width="3.1640625" style="1" customWidth="1"/>
    <col min="4" max="4" width="25.1640625" style="1" customWidth="1"/>
    <col min="5" max="6" width="12.5" style="1" customWidth="1" outlineLevel="1"/>
    <col min="7" max="11" width="12.5" style="1" customWidth="1"/>
    <col min="12" max="16384" width="9.1640625" style="1"/>
  </cols>
  <sheetData>
    <row r="1" spans="1:11" s="12" customFormat="1" x14ac:dyDescent="0.15">
      <c r="A1" s="117" t="str">
        <f>Cover!A4</f>
        <v>Saras Group</v>
      </c>
      <c r="B1" s="117"/>
      <c r="C1" s="117"/>
      <c r="D1" s="117"/>
      <c r="E1" s="118">
        <f>Cover!A2</f>
        <v>0</v>
      </c>
      <c r="F1" s="118"/>
      <c r="G1" s="12" t="str">
        <f>Cover!A15</f>
        <v>EUR</v>
      </c>
      <c r="I1" s="116">
        <f>Cover!A13</f>
        <v>41928</v>
      </c>
      <c r="J1" s="116"/>
    </row>
    <row r="2" spans="1:11" ht="18" x14ac:dyDescent="0.2">
      <c r="B2" s="3" t="s">
        <v>133</v>
      </c>
    </row>
    <row r="3" spans="1:11" ht="15" customHeight="1" x14ac:dyDescent="0.2">
      <c r="B3" s="3"/>
      <c r="G3" s="1" t="s">
        <v>3</v>
      </c>
    </row>
    <row r="4" spans="1:11" x14ac:dyDescent="0.15">
      <c r="E4" s="39" t="str">
        <f>Cover!A8</f>
        <v>H1 2014</v>
      </c>
      <c r="F4" s="39" t="str">
        <f>Cover!B8</f>
        <v>H1 2013</v>
      </c>
      <c r="G4" s="39" t="str">
        <f>Cover!C8</f>
        <v>12/31/2013</v>
      </c>
      <c r="H4" s="39" t="str">
        <f>Cover!D8</f>
        <v>12/31/2012</v>
      </c>
      <c r="I4" s="39">
        <f>Cover!E8</f>
        <v>0</v>
      </c>
      <c r="J4" s="39">
        <f>Cover!F8</f>
        <v>0</v>
      </c>
      <c r="K4" s="39">
        <f>Cover!G8</f>
        <v>0</v>
      </c>
    </row>
    <row r="5" spans="1:11" ht="9" customHeight="1" x14ac:dyDescent="0.15">
      <c r="D5" s="72"/>
      <c r="E5" s="6"/>
      <c r="F5" s="6"/>
      <c r="G5" s="6"/>
      <c r="H5" s="6"/>
      <c r="I5" s="6"/>
      <c r="J5" s="6"/>
      <c r="K5" s="6"/>
    </row>
    <row r="6" spans="1:11" x14ac:dyDescent="0.15">
      <c r="B6" s="114" t="s">
        <v>15</v>
      </c>
      <c r="C6" s="114"/>
      <c r="D6" s="114"/>
      <c r="E6" s="63">
        <f>E27+E26+E25+E24+E10</f>
        <v>3.9470000000000063</v>
      </c>
      <c r="F6" s="63">
        <f t="shared" ref="F6:K6" si="0">F27+F26+F25+F24+F10</f>
        <v>13.817999999999957</v>
      </c>
      <c r="G6" s="63">
        <f t="shared" si="0"/>
        <v>83.078000000000017</v>
      </c>
      <c r="H6" s="63">
        <f t="shared" si="0"/>
        <v>258.72400000000005</v>
      </c>
      <c r="I6" s="63">
        <f t="shared" si="0"/>
        <v>0</v>
      </c>
      <c r="J6" s="63">
        <f t="shared" si="0"/>
        <v>0</v>
      </c>
      <c r="K6" s="63">
        <f t="shared" si="0"/>
        <v>0</v>
      </c>
    </row>
    <row r="7" spans="1:11" s="11" customFormat="1" ht="10.5" customHeight="1" x14ac:dyDescent="0.15">
      <c r="B7" s="69" t="s">
        <v>20</v>
      </c>
      <c r="C7" s="69"/>
      <c r="D7" s="69"/>
      <c r="E7" s="73" t="s">
        <v>151</v>
      </c>
      <c r="F7" s="64"/>
      <c r="G7" s="64">
        <f t="shared" ref="E7:J9" si="1">IF(AND(G6&lt;&gt;0,H6&lt;&gt;0),G6/H6-1,"")</f>
        <v>-0.67889333807455055</v>
      </c>
      <c r="H7" s="64" t="str">
        <f t="shared" si="1"/>
        <v/>
      </c>
      <c r="I7" s="64" t="str">
        <f t="shared" si="1"/>
        <v/>
      </c>
      <c r="J7" s="64" t="str">
        <f t="shared" si="1"/>
        <v/>
      </c>
      <c r="K7" s="65"/>
    </row>
    <row r="8" spans="1:11" x14ac:dyDescent="0.15">
      <c r="B8" s="114" t="s">
        <v>16</v>
      </c>
      <c r="C8" s="114"/>
      <c r="D8" s="114"/>
      <c r="E8" s="63">
        <f>E27+E26+E25+E24</f>
        <v>15.647000000000006</v>
      </c>
      <c r="F8" s="63">
        <f t="shared" ref="F8:K8" si="2">F27+F26+F25+F24</f>
        <v>28.258999999999958</v>
      </c>
      <c r="G8" s="63">
        <f t="shared" si="2"/>
        <v>71.581000000000017</v>
      </c>
      <c r="H8" s="63">
        <f t="shared" si="2"/>
        <v>176.04600000000002</v>
      </c>
      <c r="I8" s="63">
        <f t="shared" si="2"/>
        <v>0</v>
      </c>
      <c r="J8" s="63">
        <f t="shared" si="2"/>
        <v>0</v>
      </c>
      <c r="K8" s="63">
        <f t="shared" si="2"/>
        <v>0</v>
      </c>
    </row>
    <row r="9" spans="1:11" s="11" customFormat="1" ht="10.5" customHeight="1" x14ac:dyDescent="0.15">
      <c r="B9" s="69" t="s">
        <v>20</v>
      </c>
      <c r="C9" s="69"/>
      <c r="D9" s="69"/>
      <c r="E9" s="64">
        <f t="shared" si="1"/>
        <v>-0.44630029371173685</v>
      </c>
      <c r="F9" s="64"/>
      <c r="G9" s="64">
        <f t="shared" ref="G9:J9" si="3">IF(AND(G8&lt;&gt;0,H8&lt;&gt;0),G8/H8-1,"")</f>
        <v>-0.59339604421571623</v>
      </c>
      <c r="H9" s="64" t="str">
        <f t="shared" si="3"/>
        <v/>
      </c>
      <c r="I9" s="64" t="str">
        <f t="shared" si="3"/>
        <v/>
      </c>
      <c r="J9" s="64" t="str">
        <f t="shared" si="3"/>
        <v/>
      </c>
      <c r="K9" s="65"/>
    </row>
    <row r="10" spans="1:11" x14ac:dyDescent="0.15">
      <c r="B10" s="70" t="s">
        <v>17</v>
      </c>
      <c r="C10" s="66"/>
      <c r="D10" s="66"/>
      <c r="E10" s="63">
        <f>SUM(E13:E22)</f>
        <v>-11.7</v>
      </c>
      <c r="F10" s="63">
        <f t="shared" ref="F10:K10" si="4">SUM(F13:F22)</f>
        <v>-14.441000000000001</v>
      </c>
      <c r="G10" s="63">
        <f t="shared" si="4"/>
        <v>11.497</v>
      </c>
      <c r="H10" s="63">
        <f t="shared" si="4"/>
        <v>82.677999999999997</v>
      </c>
      <c r="I10" s="63">
        <f t="shared" si="4"/>
        <v>0</v>
      </c>
      <c r="J10" s="63">
        <f t="shared" si="4"/>
        <v>0</v>
      </c>
      <c r="K10" s="63">
        <f t="shared" si="4"/>
        <v>0</v>
      </c>
    </row>
    <row r="11" spans="1:11" ht="8.25" customHeight="1" x14ac:dyDescent="0.15">
      <c r="B11" s="5"/>
      <c r="E11" s="67"/>
      <c r="F11" s="67"/>
      <c r="G11" s="67"/>
      <c r="H11" s="67"/>
      <c r="I11" s="67"/>
      <c r="J11" s="67"/>
      <c r="K11" s="67"/>
    </row>
    <row r="12" spans="1:11" x14ac:dyDescent="0.15">
      <c r="B12" s="5"/>
      <c r="D12" s="1" t="s">
        <v>18</v>
      </c>
      <c r="E12" s="10" t="s">
        <v>19</v>
      </c>
      <c r="F12" s="10" t="s">
        <v>19</v>
      </c>
      <c r="G12" s="10" t="s">
        <v>19</v>
      </c>
      <c r="H12" s="10" t="s">
        <v>19</v>
      </c>
      <c r="I12" s="10" t="s">
        <v>19</v>
      </c>
      <c r="J12" s="10" t="s">
        <v>19</v>
      </c>
      <c r="K12" s="10" t="s">
        <v>19</v>
      </c>
    </row>
    <row r="13" spans="1:11" ht="15" customHeight="1" x14ac:dyDescent="0.15">
      <c r="B13" s="115">
        <v>5</v>
      </c>
      <c r="C13" s="4" t="s">
        <v>5</v>
      </c>
      <c r="D13" s="8" t="s">
        <v>148</v>
      </c>
      <c r="E13" s="51">
        <v>1.2230000000000001</v>
      </c>
      <c r="F13" s="51"/>
      <c r="G13" s="51">
        <v>1.8320000000000001</v>
      </c>
      <c r="H13" s="51">
        <v>1.95</v>
      </c>
      <c r="I13" s="51"/>
      <c r="J13" s="51"/>
      <c r="K13" s="51"/>
    </row>
    <row r="14" spans="1:11" x14ac:dyDescent="0.15">
      <c r="B14" s="115"/>
      <c r="C14" s="4" t="s">
        <v>6</v>
      </c>
      <c r="D14" s="8" t="s">
        <v>150</v>
      </c>
      <c r="E14" s="51">
        <v>-2.7970000000000002</v>
      </c>
      <c r="F14" s="51">
        <v>-5.0000000000000001E-3</v>
      </c>
      <c r="G14" s="51">
        <v>-2.3450000000000002</v>
      </c>
      <c r="H14" s="51">
        <v>-1.841</v>
      </c>
      <c r="I14" s="51"/>
      <c r="J14" s="51"/>
      <c r="K14" s="51"/>
    </row>
    <row r="15" spans="1:11" x14ac:dyDescent="0.15">
      <c r="B15" s="115"/>
      <c r="C15" s="4" t="s">
        <v>7</v>
      </c>
      <c r="D15" s="8" t="s">
        <v>152</v>
      </c>
      <c r="E15" s="51">
        <v>-10.125999999999999</v>
      </c>
      <c r="F15" s="51">
        <v>-14.436</v>
      </c>
      <c r="G15" s="51">
        <v>-26.99</v>
      </c>
      <c r="H15" s="51">
        <v>-5.431</v>
      </c>
      <c r="I15" s="51"/>
      <c r="J15" s="51"/>
      <c r="K15" s="51"/>
    </row>
    <row r="16" spans="1:11" x14ac:dyDescent="0.15">
      <c r="B16" s="115"/>
      <c r="C16" s="4" t="s">
        <v>8</v>
      </c>
      <c r="D16" s="8" t="s">
        <v>153</v>
      </c>
      <c r="E16" s="51"/>
      <c r="F16" s="51"/>
      <c r="G16" s="51">
        <v>39</v>
      </c>
      <c r="H16" s="51">
        <v>88</v>
      </c>
      <c r="I16" s="51"/>
      <c r="J16" s="51"/>
      <c r="K16" s="51"/>
    </row>
    <row r="17" spans="2:11" ht="15" customHeight="1" x14ac:dyDescent="0.15">
      <c r="B17" s="115"/>
      <c r="C17" s="4" t="s">
        <v>9</v>
      </c>
      <c r="D17" s="8"/>
      <c r="E17" s="51"/>
      <c r="F17" s="51"/>
      <c r="G17" s="51"/>
      <c r="H17" s="51"/>
      <c r="I17" s="51"/>
      <c r="J17" s="51"/>
      <c r="K17" s="51"/>
    </row>
    <row r="18" spans="2:11" ht="14.25" customHeight="1" x14ac:dyDescent="0.15">
      <c r="B18" s="115"/>
      <c r="C18" s="4" t="s">
        <v>10</v>
      </c>
      <c r="D18" s="8"/>
      <c r="E18" s="51"/>
      <c r="F18" s="51"/>
      <c r="G18" s="51"/>
      <c r="H18" s="51"/>
      <c r="I18" s="51"/>
      <c r="J18" s="51"/>
      <c r="K18" s="51"/>
    </row>
    <row r="19" spans="2:11" ht="14.25" customHeight="1" x14ac:dyDescent="0.15">
      <c r="B19" s="115"/>
      <c r="C19" s="4" t="s">
        <v>11</v>
      </c>
      <c r="D19" s="8"/>
      <c r="E19" s="51"/>
      <c r="F19" s="51"/>
      <c r="G19" s="51"/>
      <c r="H19" s="51"/>
      <c r="I19" s="51"/>
      <c r="J19" s="51"/>
      <c r="K19" s="51"/>
    </row>
    <row r="20" spans="2:11" ht="14.25" customHeight="1" x14ac:dyDescent="0.15">
      <c r="B20" s="115"/>
      <c r="C20" s="4" t="s">
        <v>12</v>
      </c>
      <c r="D20" s="8"/>
      <c r="E20" s="51"/>
      <c r="F20" s="51"/>
      <c r="G20" s="51"/>
      <c r="H20" s="51"/>
      <c r="I20" s="51"/>
      <c r="J20" s="51"/>
      <c r="K20" s="51"/>
    </row>
    <row r="21" spans="2:11" ht="14.25" customHeight="1" x14ac:dyDescent="0.15">
      <c r="B21" s="115"/>
      <c r="C21" s="4" t="s">
        <v>13</v>
      </c>
      <c r="D21" s="8"/>
      <c r="E21" s="51"/>
      <c r="F21" s="51"/>
      <c r="G21" s="51"/>
      <c r="H21" s="51"/>
      <c r="I21" s="51"/>
      <c r="J21" s="51"/>
      <c r="K21" s="51"/>
    </row>
    <row r="22" spans="2:11" ht="14.25" customHeight="1" x14ac:dyDescent="0.15">
      <c r="B22" s="115"/>
      <c r="C22" s="4" t="s">
        <v>14</v>
      </c>
      <c r="D22" s="8"/>
      <c r="E22" s="51"/>
      <c r="F22" s="51"/>
      <c r="G22" s="51"/>
      <c r="H22" s="51"/>
      <c r="I22" s="51"/>
      <c r="J22" s="51"/>
      <c r="K22" s="51"/>
    </row>
    <row r="23" spans="2:11" ht="7.5" customHeight="1" x14ac:dyDescent="0.15">
      <c r="B23" s="9"/>
      <c r="C23" s="4"/>
      <c r="E23" s="68"/>
      <c r="F23" s="68"/>
      <c r="G23" s="68"/>
      <c r="H23" s="68"/>
      <c r="I23" s="68"/>
      <c r="J23" s="68"/>
      <c r="K23" s="68"/>
    </row>
    <row r="24" spans="2:11" x14ac:dyDescent="0.15">
      <c r="C24" s="2">
        <v>4</v>
      </c>
      <c r="D24" s="66" t="s">
        <v>2</v>
      </c>
      <c r="E24" s="51">
        <v>97.936000000000007</v>
      </c>
      <c r="F24" s="51">
        <v>329.50799999999998</v>
      </c>
      <c r="G24" s="51">
        <v>425.74200000000002</v>
      </c>
      <c r="H24" s="51">
        <v>244.18600000000001</v>
      </c>
      <c r="I24" s="51"/>
      <c r="J24" s="51"/>
      <c r="K24" s="51"/>
    </row>
    <row r="25" spans="2:11" x14ac:dyDescent="0.15">
      <c r="C25" s="2">
        <v>3</v>
      </c>
      <c r="D25" s="66" t="s">
        <v>4</v>
      </c>
      <c r="E25" s="51">
        <v>-27.739000000000001</v>
      </c>
      <c r="F25" s="51">
        <v>-103.5</v>
      </c>
      <c r="G25" s="51">
        <v>-112.52</v>
      </c>
      <c r="H25" s="51">
        <v>-31.448</v>
      </c>
      <c r="I25" s="51"/>
      <c r="J25" s="51"/>
      <c r="K25" s="51"/>
    </row>
    <row r="26" spans="2:11" x14ac:dyDescent="0.15">
      <c r="C26" s="2">
        <v>2</v>
      </c>
      <c r="D26" s="66" t="s">
        <v>1</v>
      </c>
      <c r="E26" s="51">
        <f>101.173-72.386</f>
        <v>28.787000000000006</v>
      </c>
      <c r="F26" s="51">
        <f>122.503-118.995</f>
        <v>3.5079999999999956</v>
      </c>
      <c r="G26" s="51">
        <f>238.724-209.285</f>
        <v>29.438999999999993</v>
      </c>
      <c r="H26" s="51">
        <f>300.117-248.233</f>
        <v>51.884000000000015</v>
      </c>
      <c r="I26" s="51"/>
      <c r="J26" s="51"/>
      <c r="K26" s="51"/>
    </row>
    <row r="27" spans="2:11" x14ac:dyDescent="0.15">
      <c r="C27" s="2">
        <v>1</v>
      </c>
      <c r="D27" s="66" t="s">
        <v>0</v>
      </c>
      <c r="E27" s="51">
        <v>-83.337000000000003</v>
      </c>
      <c r="F27" s="51">
        <v>-201.25700000000001</v>
      </c>
      <c r="G27" s="51">
        <v>-271.08</v>
      </c>
      <c r="H27" s="51">
        <v>-88.575999999999993</v>
      </c>
      <c r="I27" s="51"/>
      <c r="J27" s="51"/>
      <c r="K27" s="51"/>
    </row>
    <row r="28" spans="2:11" x14ac:dyDescent="0.15">
      <c r="E28" s="66"/>
      <c r="F28" s="66"/>
      <c r="G28" s="66"/>
      <c r="H28" s="66"/>
      <c r="I28" s="66"/>
      <c r="J28" s="66"/>
      <c r="K28" s="66"/>
    </row>
    <row r="29" spans="2:11" x14ac:dyDescent="0.15">
      <c r="E29" s="66"/>
      <c r="F29" s="66"/>
      <c r="G29" s="66"/>
      <c r="H29" s="66"/>
      <c r="I29" s="66"/>
      <c r="J29" s="66"/>
      <c r="K29" s="66"/>
    </row>
    <row r="30" spans="2:11" x14ac:dyDescent="0.15">
      <c r="D30" s="1" t="s">
        <v>21</v>
      </c>
      <c r="E30" s="66"/>
      <c r="F30" s="66"/>
      <c r="G30" s="66"/>
      <c r="H30" s="66"/>
      <c r="I30" s="66"/>
      <c r="J30" s="66"/>
      <c r="K30" s="66"/>
    </row>
    <row r="31" spans="2:11" x14ac:dyDescent="0.15">
      <c r="E31" s="66"/>
      <c r="F31" s="66"/>
      <c r="G31" s="66"/>
      <c r="H31" s="66"/>
      <c r="I31" s="66"/>
      <c r="J31" s="66"/>
      <c r="K31" s="66"/>
    </row>
    <row r="32" spans="2:11" x14ac:dyDescent="0.15">
      <c r="E32" s="66"/>
      <c r="F32" s="66"/>
      <c r="G32" s="66"/>
      <c r="H32" s="66"/>
      <c r="I32" s="66"/>
      <c r="J32" s="66"/>
      <c r="K32" s="66"/>
    </row>
    <row r="33" spans="2:11" x14ac:dyDescent="0.15">
      <c r="E33" s="66"/>
      <c r="F33" s="66"/>
      <c r="G33" s="66"/>
      <c r="H33" s="66"/>
      <c r="I33" s="66"/>
      <c r="J33" s="66"/>
      <c r="K33" s="66"/>
    </row>
    <row r="34" spans="2:11" ht="18" x14ac:dyDescent="0.2">
      <c r="B34" s="3" t="s">
        <v>134</v>
      </c>
      <c r="C34" s="18"/>
      <c r="D34" s="18"/>
      <c r="E34" s="66"/>
      <c r="F34" s="66"/>
      <c r="G34" s="66"/>
      <c r="H34" s="66"/>
      <c r="I34" s="66"/>
      <c r="J34" s="66"/>
      <c r="K34" s="66"/>
    </row>
    <row r="35" spans="2:11" ht="18" x14ac:dyDescent="0.2">
      <c r="B35" s="3"/>
      <c r="C35" s="18"/>
      <c r="D35" s="18"/>
      <c r="E35" s="66"/>
      <c r="F35" s="66"/>
      <c r="G35" s="66" t="s">
        <v>3</v>
      </c>
      <c r="H35" s="66"/>
      <c r="I35" s="66"/>
      <c r="J35" s="66"/>
      <c r="K35" s="66"/>
    </row>
    <row r="36" spans="2:11" s="18" customFormat="1" x14ac:dyDescent="0.15">
      <c r="E36" s="39" t="str">
        <f>Cover!A8</f>
        <v>H1 2014</v>
      </c>
      <c r="F36" s="39" t="str">
        <f>Cover!B8</f>
        <v>H1 2013</v>
      </c>
      <c r="G36" s="39" t="str">
        <f>Cover!C8</f>
        <v>12/31/2013</v>
      </c>
      <c r="H36" s="39" t="str">
        <f>Cover!D8</f>
        <v>12/31/2012</v>
      </c>
      <c r="I36" s="39">
        <f>Cover!E8</f>
        <v>0</v>
      </c>
      <c r="J36" s="39">
        <f>Cover!F8</f>
        <v>0</v>
      </c>
      <c r="K36" s="39">
        <f>Cover!G8</f>
        <v>0</v>
      </c>
    </row>
    <row r="37" spans="2:11" s="18" customFormat="1" ht="9" customHeight="1" x14ac:dyDescent="0.15">
      <c r="D37" s="72"/>
      <c r="E37" s="6"/>
      <c r="F37" s="6"/>
      <c r="G37" s="6"/>
      <c r="H37" s="6"/>
      <c r="I37" s="6"/>
      <c r="J37" s="6"/>
      <c r="K37" s="6"/>
    </row>
    <row r="38" spans="2:11" s="18" customFormat="1" x14ac:dyDescent="0.15">
      <c r="B38" s="114" t="s">
        <v>15</v>
      </c>
      <c r="C38" s="114"/>
      <c r="D38" s="114"/>
      <c r="E38" s="63">
        <f>E59+E58+E57+E56+E42</f>
        <v>5.4110744005593467</v>
      </c>
      <c r="F38" s="63">
        <f t="shared" ref="F38:K38" si="5">F59+F58+F57+F56+F42</f>
        <v>18.141834008389523</v>
      </c>
      <c r="G38" s="63">
        <f t="shared" si="5"/>
        <v>110.29419574106529</v>
      </c>
      <c r="H38" s="63">
        <f t="shared" si="5"/>
        <v>332.48388817137982</v>
      </c>
      <c r="I38" s="63">
        <f t="shared" si="5"/>
        <v>0</v>
      </c>
      <c r="J38" s="63">
        <f t="shared" si="5"/>
        <v>0</v>
      </c>
      <c r="K38" s="63">
        <f t="shared" si="5"/>
        <v>0</v>
      </c>
    </row>
    <row r="39" spans="2:11" s="22" customFormat="1" ht="10.5" customHeight="1" x14ac:dyDescent="0.15">
      <c r="B39" s="69" t="s">
        <v>20</v>
      </c>
      <c r="C39" s="69"/>
      <c r="D39" s="69"/>
      <c r="E39" s="73" t="s">
        <v>149</v>
      </c>
      <c r="F39" s="64">
        <f t="shared" ref="F39" si="6">IF(AND(F38&lt;&gt;0,G38&lt;&gt;0),F38/G38-1,"")</f>
        <v>-0.8355141547885202</v>
      </c>
      <c r="G39" s="64">
        <f t="shared" ref="G39" si="7">IF(AND(G38&lt;&gt;0,H38&lt;&gt;0),G38/H38-1,"")</f>
        <v>-0.66827205869231832</v>
      </c>
      <c r="H39" s="64" t="str">
        <f t="shared" ref="H39" si="8">IF(AND(H38&lt;&gt;0,I38&lt;&gt;0),H38/I38-1,"")</f>
        <v/>
      </c>
      <c r="I39" s="64" t="str">
        <f t="shared" ref="I39" si="9">IF(AND(I38&lt;&gt;0,J38&lt;&gt;0),I38/J38-1,"")</f>
        <v/>
      </c>
      <c r="J39" s="64" t="str">
        <f t="shared" ref="J39" si="10">IF(AND(J38&lt;&gt;0,K38&lt;&gt;0),J38/K38-1,"")</f>
        <v/>
      </c>
      <c r="K39" s="65"/>
    </row>
    <row r="40" spans="2:11" s="18" customFormat="1" x14ac:dyDescent="0.15">
      <c r="B40" s="114" t="s">
        <v>16</v>
      </c>
      <c r="C40" s="114"/>
      <c r="D40" s="114"/>
      <c r="E40" s="63">
        <f>E59+E58+E57+E56</f>
        <v>21.450995983164944</v>
      </c>
      <c r="F40" s="63">
        <f t="shared" ref="F40:K40" si="11">F59+F58+F57+F56</f>
        <v>37.101612913813824</v>
      </c>
      <c r="G40" s="63">
        <f t="shared" si="11"/>
        <v>95.03080027614044</v>
      </c>
      <c r="H40" s="63">
        <f t="shared" si="11"/>
        <v>226.23513310330208</v>
      </c>
      <c r="I40" s="63">
        <f t="shared" si="11"/>
        <v>0</v>
      </c>
      <c r="J40" s="63">
        <f t="shared" si="11"/>
        <v>0</v>
      </c>
      <c r="K40" s="63">
        <f t="shared" si="11"/>
        <v>0</v>
      </c>
    </row>
    <row r="41" spans="2:11" s="22" customFormat="1" ht="10.5" customHeight="1" x14ac:dyDescent="0.15">
      <c r="B41" s="69" t="s">
        <v>20</v>
      </c>
      <c r="C41" s="69"/>
      <c r="D41" s="69"/>
      <c r="E41" s="64">
        <f t="shared" ref="E41" si="12">IF(AND(E40&lt;&gt;0,F40&lt;&gt;0),E40/F40-1,"")</f>
        <v>-0.42183117394397096</v>
      </c>
      <c r="F41" s="64">
        <f t="shared" ref="F41" si="13">IF(AND(F40&lt;&gt;0,G40&lt;&gt;0),F40/G40-1,"")</f>
        <v>-0.60958328451403143</v>
      </c>
      <c r="G41" s="64">
        <f t="shared" ref="G41" si="14">IF(AND(G40&lt;&gt;0,H40&lt;&gt;0),G40/H40-1,"")</f>
        <v>-0.5799467617050087</v>
      </c>
      <c r="H41" s="64" t="str">
        <f t="shared" ref="H41" si="15">IF(AND(H40&lt;&gt;0,I40&lt;&gt;0),H40/I40-1,"")</f>
        <v/>
      </c>
      <c r="I41" s="64" t="str">
        <f t="shared" ref="I41" si="16">IF(AND(I40&lt;&gt;0,J40&lt;&gt;0),I40/J40-1,"")</f>
        <v/>
      </c>
      <c r="J41" s="64" t="str">
        <f t="shared" ref="J41" si="17">IF(AND(J40&lt;&gt;0,K40&lt;&gt;0),J40/K40-1,"")</f>
        <v/>
      </c>
      <c r="K41" s="65"/>
    </row>
    <row r="42" spans="2:11" s="18" customFormat="1" x14ac:dyDescent="0.15">
      <c r="B42" s="70" t="s">
        <v>17</v>
      </c>
      <c r="C42" s="66"/>
      <c r="D42" s="66"/>
      <c r="E42" s="63">
        <f>SUM(E45:E54)</f>
        <v>-16.039921582605597</v>
      </c>
      <c r="F42" s="63">
        <f t="shared" ref="F42:K42" si="18">SUM(F45:F54)</f>
        <v>-18.959778905424301</v>
      </c>
      <c r="G42" s="63">
        <f t="shared" si="18"/>
        <v>15.263395464924862</v>
      </c>
      <c r="H42" s="63">
        <f t="shared" si="18"/>
        <v>106.24875506807771</v>
      </c>
      <c r="I42" s="63">
        <f t="shared" si="18"/>
        <v>0</v>
      </c>
      <c r="J42" s="63">
        <f t="shared" si="18"/>
        <v>0</v>
      </c>
      <c r="K42" s="63">
        <f t="shared" si="18"/>
        <v>0</v>
      </c>
    </row>
    <row r="43" spans="2:11" s="18" customFormat="1" ht="8.25" customHeight="1" x14ac:dyDescent="0.15">
      <c r="B43" s="19"/>
      <c r="E43" s="67"/>
      <c r="F43" s="67"/>
      <c r="G43" s="67"/>
      <c r="H43" s="67"/>
      <c r="I43" s="67"/>
      <c r="J43" s="67"/>
      <c r="K43" s="67"/>
    </row>
    <row r="44" spans="2:11" s="18" customFormat="1" x14ac:dyDescent="0.15">
      <c r="B44" s="19"/>
      <c r="D44" s="18" t="s">
        <v>18</v>
      </c>
      <c r="E44" s="10" t="s">
        <v>19</v>
      </c>
      <c r="F44" s="10" t="s">
        <v>19</v>
      </c>
      <c r="G44" s="10" t="s">
        <v>19</v>
      </c>
      <c r="H44" s="10" t="s">
        <v>19</v>
      </c>
      <c r="I44" s="10" t="s">
        <v>19</v>
      </c>
      <c r="J44" s="10" t="s">
        <v>19</v>
      </c>
      <c r="K44" s="10" t="s">
        <v>19</v>
      </c>
    </row>
    <row r="45" spans="2:11" s="18" customFormat="1" ht="15" customHeight="1" x14ac:dyDescent="0.15">
      <c r="B45" s="115">
        <v>5</v>
      </c>
      <c r="C45" s="4" t="s">
        <v>5</v>
      </c>
      <c r="D45" s="21" t="str">
        <f>D13</f>
        <v>Unrealized exchange losses/(gains) on bank accounts</v>
      </c>
      <c r="E45" s="51">
        <f>E13/Cover!A$17</f>
        <v>1.6766516320962945</v>
      </c>
      <c r="F45" s="51">
        <f>F13/Cover!B$17</f>
        <v>0</v>
      </c>
      <c r="G45" s="51">
        <f>G13/Cover!C$17</f>
        <v>2.4321597366045351</v>
      </c>
      <c r="H45" s="51">
        <f>H13/Cover!D$17</f>
        <v>2.5059274823139353</v>
      </c>
      <c r="I45" s="51">
        <f>I13/Cover!E$17</f>
        <v>0</v>
      </c>
      <c r="J45" s="51">
        <f>J13/Cover!F$17</f>
        <v>0</v>
      </c>
      <c r="K45" s="51">
        <f>K13/Cover!G$17</f>
        <v>0</v>
      </c>
    </row>
    <row r="46" spans="2:11" s="18" customFormat="1" x14ac:dyDescent="0.15">
      <c r="B46" s="115"/>
      <c r="C46" s="4" t="s">
        <v>6</v>
      </c>
      <c r="D46" s="21" t="str">
        <f t="shared" ref="D46:D54" si="19">D14</f>
        <v>Recovery for claims and damages</v>
      </c>
      <c r="E46" s="51">
        <f>E14/Cover!A$17</f>
        <v>-3.8345009116707569</v>
      </c>
      <c r="F46" s="51">
        <f>F14/Cover!B$17</f>
        <v>-6.5645657867960325E-3</v>
      </c>
      <c r="G46" s="51">
        <f>G14/Cover!C$17</f>
        <v>-3.113217566778185</v>
      </c>
      <c r="H46" s="51">
        <f>H14/Cover!D$17</f>
        <v>-2.3658525615076691</v>
      </c>
      <c r="I46" s="51">
        <f>I14/Cover!E$17</f>
        <v>0</v>
      </c>
      <c r="J46" s="51">
        <f>J14/Cover!F$17</f>
        <v>0</v>
      </c>
      <c r="K46" s="51">
        <f>K14/Cover!G$17</f>
        <v>0</v>
      </c>
    </row>
    <row r="47" spans="2:11" s="18" customFormat="1" x14ac:dyDescent="0.15">
      <c r="B47" s="115"/>
      <c r="C47" s="4" t="s">
        <v>7</v>
      </c>
      <c r="D47" s="21" t="str">
        <f t="shared" si="19"/>
        <v>Change in fair value of derivatives, green certificates</v>
      </c>
      <c r="E47" s="51">
        <f>E15/Cover!A$17</f>
        <v>-13.882072303031133</v>
      </c>
      <c r="F47" s="51">
        <f>F15/Cover!B$17</f>
        <v>-18.953214339637505</v>
      </c>
      <c r="G47" s="51">
        <f>G15/Cover!C$17</f>
        <v>-35.831872975412878</v>
      </c>
      <c r="H47" s="51">
        <f>H15/Cover!D$17</f>
        <v>-6.9793293109984518</v>
      </c>
      <c r="I47" s="51">
        <f>I15/Cover!E$17</f>
        <v>0</v>
      </c>
      <c r="J47" s="51">
        <f>J15/Cover!F$17</f>
        <v>0</v>
      </c>
      <c r="K47" s="51">
        <f>K15/Cover!G$17</f>
        <v>0</v>
      </c>
    </row>
    <row r="48" spans="2:11" s="18" customFormat="1" x14ac:dyDescent="0.15">
      <c r="B48" s="115"/>
      <c r="C48" s="4" t="s">
        <v>8</v>
      </c>
      <c r="D48" s="21" t="str">
        <f t="shared" si="19"/>
        <v>EBITDA addback due to scheduled refinery maintenance</v>
      </c>
      <c r="E48" s="51">
        <f>E16/Cover!A$17</f>
        <v>0</v>
      </c>
      <c r="F48" s="51">
        <f>F16/Cover!B$17</f>
        <v>0</v>
      </c>
      <c r="G48" s="51">
        <f>G16/Cover!C$17</f>
        <v>51.77632627051139</v>
      </c>
      <c r="H48" s="51">
        <f>H16/Cover!D$17</f>
        <v>113.08800945826989</v>
      </c>
      <c r="I48" s="51">
        <f>I16/Cover!E$17</f>
        <v>0</v>
      </c>
      <c r="J48" s="51">
        <f>J16/Cover!F$17</f>
        <v>0</v>
      </c>
      <c r="K48" s="51">
        <f>K16/Cover!G$17</f>
        <v>0</v>
      </c>
    </row>
    <row r="49" spans="2:11" s="18" customFormat="1" ht="15" customHeight="1" x14ac:dyDescent="0.15">
      <c r="B49" s="115"/>
      <c r="C49" s="4" t="s">
        <v>9</v>
      </c>
      <c r="D49" s="21">
        <f t="shared" si="19"/>
        <v>0</v>
      </c>
      <c r="E49" s="51">
        <f>E17/Cover!A$17</f>
        <v>0</v>
      </c>
      <c r="F49" s="51">
        <f>F17/Cover!B$17</f>
        <v>0</v>
      </c>
      <c r="G49" s="51">
        <f>G17/Cover!C$17</f>
        <v>0</v>
      </c>
      <c r="H49" s="51">
        <f>H17/Cover!D$17</f>
        <v>0</v>
      </c>
      <c r="I49" s="51">
        <f>I17/Cover!E$17</f>
        <v>0</v>
      </c>
      <c r="J49" s="51">
        <f>J17/Cover!F$17</f>
        <v>0</v>
      </c>
      <c r="K49" s="51">
        <f>K17/Cover!G$17</f>
        <v>0</v>
      </c>
    </row>
    <row r="50" spans="2:11" s="18" customFormat="1" ht="14.25" customHeight="1" x14ac:dyDescent="0.15">
      <c r="B50" s="115"/>
      <c r="C50" s="4" t="s">
        <v>10</v>
      </c>
      <c r="D50" s="21">
        <f t="shared" si="19"/>
        <v>0</v>
      </c>
      <c r="E50" s="51">
        <f>E18/Cover!A$17</f>
        <v>0</v>
      </c>
      <c r="F50" s="51">
        <f>F18/Cover!B$17</f>
        <v>0</v>
      </c>
      <c r="G50" s="51">
        <f>G18/Cover!C$17</f>
        <v>0</v>
      </c>
      <c r="H50" s="51">
        <f>H18/Cover!D$17</f>
        <v>0</v>
      </c>
      <c r="I50" s="51">
        <f>I18/Cover!E$17</f>
        <v>0</v>
      </c>
      <c r="J50" s="51">
        <f>J18/Cover!F$17</f>
        <v>0</v>
      </c>
      <c r="K50" s="51">
        <f>K18/Cover!G$17</f>
        <v>0</v>
      </c>
    </row>
    <row r="51" spans="2:11" s="18" customFormat="1" ht="14.25" customHeight="1" x14ac:dyDescent="0.15">
      <c r="B51" s="115"/>
      <c r="C51" s="4" t="s">
        <v>11</v>
      </c>
      <c r="D51" s="21">
        <f t="shared" si="19"/>
        <v>0</v>
      </c>
      <c r="E51" s="51">
        <f>E19/Cover!A$17</f>
        <v>0</v>
      </c>
      <c r="F51" s="51">
        <f>F19/Cover!B$17</f>
        <v>0</v>
      </c>
      <c r="G51" s="51">
        <f>G19/Cover!C$17</f>
        <v>0</v>
      </c>
      <c r="H51" s="51">
        <f>H19/Cover!D$17</f>
        <v>0</v>
      </c>
      <c r="I51" s="51">
        <f>I19/Cover!E$17</f>
        <v>0</v>
      </c>
      <c r="J51" s="51">
        <f>J19/Cover!F$17</f>
        <v>0</v>
      </c>
      <c r="K51" s="51">
        <f>K19/Cover!G$17</f>
        <v>0</v>
      </c>
    </row>
    <row r="52" spans="2:11" s="18" customFormat="1" ht="14.25" customHeight="1" x14ac:dyDescent="0.15">
      <c r="B52" s="115"/>
      <c r="C52" s="4" t="s">
        <v>12</v>
      </c>
      <c r="D52" s="21">
        <f t="shared" si="19"/>
        <v>0</v>
      </c>
      <c r="E52" s="51">
        <f>E20/Cover!A$17</f>
        <v>0</v>
      </c>
      <c r="F52" s="51">
        <f>F20/Cover!B$17</f>
        <v>0</v>
      </c>
      <c r="G52" s="51">
        <f>G20/Cover!C$17</f>
        <v>0</v>
      </c>
      <c r="H52" s="51">
        <f>H20/Cover!D$17</f>
        <v>0</v>
      </c>
      <c r="I52" s="51">
        <f>I20/Cover!E$17</f>
        <v>0</v>
      </c>
      <c r="J52" s="51">
        <f>J20/Cover!F$17</f>
        <v>0</v>
      </c>
      <c r="K52" s="51">
        <f>K20/Cover!G$17</f>
        <v>0</v>
      </c>
    </row>
    <row r="53" spans="2:11" s="18" customFormat="1" ht="14.25" customHeight="1" x14ac:dyDescent="0.15">
      <c r="B53" s="115"/>
      <c r="C53" s="4" t="s">
        <v>13</v>
      </c>
      <c r="D53" s="21">
        <f t="shared" si="19"/>
        <v>0</v>
      </c>
      <c r="E53" s="51">
        <f>E21/Cover!A$17</f>
        <v>0</v>
      </c>
      <c r="F53" s="51">
        <f>F21/Cover!B$17</f>
        <v>0</v>
      </c>
      <c r="G53" s="51">
        <f>G21/Cover!C$17</f>
        <v>0</v>
      </c>
      <c r="H53" s="51">
        <f>H21/Cover!D$17</f>
        <v>0</v>
      </c>
      <c r="I53" s="51">
        <f>I21/Cover!E$17</f>
        <v>0</v>
      </c>
      <c r="J53" s="51">
        <f>J21/Cover!F$17</f>
        <v>0</v>
      </c>
      <c r="K53" s="51">
        <f>K21/Cover!G$17</f>
        <v>0</v>
      </c>
    </row>
    <row r="54" spans="2:11" s="18" customFormat="1" ht="14.25" customHeight="1" x14ac:dyDescent="0.15">
      <c r="B54" s="115"/>
      <c r="C54" s="4" t="s">
        <v>14</v>
      </c>
      <c r="D54" s="21">
        <f t="shared" si="19"/>
        <v>0</v>
      </c>
      <c r="E54" s="51">
        <f>E22/Cover!A$17</f>
        <v>0</v>
      </c>
      <c r="F54" s="51">
        <f>F22/Cover!B$17</f>
        <v>0</v>
      </c>
      <c r="G54" s="51">
        <f>G22/Cover!C$17</f>
        <v>0</v>
      </c>
      <c r="H54" s="51">
        <f>H22/Cover!D$17</f>
        <v>0</v>
      </c>
      <c r="I54" s="51">
        <f>I22/Cover!E$17</f>
        <v>0</v>
      </c>
      <c r="J54" s="51">
        <f>J22/Cover!F$17</f>
        <v>0</v>
      </c>
      <c r="K54" s="51">
        <f>K22/Cover!G$17</f>
        <v>0</v>
      </c>
    </row>
    <row r="55" spans="2:11" s="18" customFormat="1" ht="7.5" customHeight="1" x14ac:dyDescent="0.15">
      <c r="B55" s="71"/>
      <c r="C55" s="4"/>
      <c r="E55" s="68"/>
      <c r="F55" s="68"/>
      <c r="G55" s="68"/>
      <c r="H55" s="68"/>
      <c r="I55" s="68"/>
      <c r="J55" s="68"/>
      <c r="K55" s="68"/>
    </row>
    <row r="56" spans="2:11" s="18" customFormat="1" x14ac:dyDescent="0.15">
      <c r="C56" s="2">
        <v>4</v>
      </c>
      <c r="D56" s="66" t="s">
        <v>2</v>
      </c>
      <c r="E56" s="51">
        <f>E24/Cover!A$17</f>
        <v>134.26374018068904</v>
      </c>
      <c r="F56" s="51">
        <f>F24/Cover!B$17</f>
        <v>432.61538865511739</v>
      </c>
      <c r="G56" s="51">
        <f>G24/Cover!C$17</f>
        <v>565.21427433487338</v>
      </c>
      <c r="H56" s="51">
        <f>H24/Cover!D$17</f>
        <v>313.80123497246694</v>
      </c>
      <c r="I56" s="51">
        <f>I24/Cover!E$17</f>
        <v>0</v>
      </c>
      <c r="J56" s="51">
        <f>J24/Cover!F$17</f>
        <v>0</v>
      </c>
      <c r="K56" s="51">
        <f>K24/Cover!G$17</f>
        <v>0</v>
      </c>
    </row>
    <row r="57" spans="2:11" s="18" customFormat="1" x14ac:dyDescent="0.15">
      <c r="C57" s="2">
        <v>3</v>
      </c>
      <c r="D57" s="66" t="s">
        <v>4</v>
      </c>
      <c r="E57" s="51">
        <f>E25/Cover!A$17</f>
        <v>-38.02832348546125</v>
      </c>
      <c r="F57" s="51">
        <f>F25/Cover!B$17</f>
        <v>-135.88651178667786</v>
      </c>
      <c r="G57" s="51">
        <f>G25/Cover!C$17</f>
        <v>-149.38133928097287</v>
      </c>
      <c r="H57" s="51">
        <f>H25/Cover!D$17</f>
        <v>-40.413542289132629</v>
      </c>
      <c r="I57" s="51">
        <f>I25/Cover!E$17</f>
        <v>0</v>
      </c>
      <c r="J57" s="51">
        <f>J25/Cover!F$17</f>
        <v>0</v>
      </c>
      <c r="K57" s="51">
        <f>K25/Cover!G$17</f>
        <v>0</v>
      </c>
    </row>
    <row r="58" spans="2:11" s="18" customFormat="1" x14ac:dyDescent="0.15">
      <c r="C58" s="2">
        <v>2</v>
      </c>
      <c r="D58" s="66" t="s">
        <v>1</v>
      </c>
      <c r="E58" s="51">
        <f>E26/Cover!A$17</f>
        <v>39.465061760552764</v>
      </c>
      <c r="F58" s="51">
        <f>F26/Cover!B$17</f>
        <v>4.6056993560160899</v>
      </c>
      <c r="G58" s="51">
        <f>G26/Cover!C$17</f>
        <v>39.083160745579086</v>
      </c>
      <c r="H58" s="51">
        <f>H26/Cover!D$17</f>
        <v>66.675662303782687</v>
      </c>
      <c r="I58" s="51">
        <f>I26/Cover!E$17</f>
        <v>0</v>
      </c>
      <c r="J58" s="51">
        <f>J26/Cover!F$17</f>
        <v>0</v>
      </c>
      <c r="K58" s="51">
        <f>K26/Cover!G$17</f>
        <v>0</v>
      </c>
    </row>
    <row r="59" spans="2:11" s="18" customFormat="1" x14ac:dyDescent="0.15">
      <c r="C59" s="2">
        <v>1</v>
      </c>
      <c r="D59" s="66" t="s">
        <v>0</v>
      </c>
      <c r="E59" s="51">
        <f>E27/Cover!A$17</f>
        <v>-114.24948247261561</v>
      </c>
      <c r="F59" s="51">
        <f>F27/Cover!B$17</f>
        <v>-264.23296331064182</v>
      </c>
      <c r="G59" s="51">
        <f>G27/Cover!C$17</f>
        <v>-359.88529552333915</v>
      </c>
      <c r="H59" s="51">
        <f>H27/Cover!D$17</f>
        <v>-113.82822188381492</v>
      </c>
      <c r="I59" s="51">
        <f>I27/Cover!E$17</f>
        <v>0</v>
      </c>
      <c r="J59" s="51">
        <f>J27/Cover!F$17</f>
        <v>0</v>
      </c>
      <c r="K59" s="51">
        <f>K27/Cover!G$17</f>
        <v>0</v>
      </c>
    </row>
    <row r="62" spans="2:11" x14ac:dyDescent="0.15">
      <c r="D62" s="18" t="s">
        <v>21</v>
      </c>
    </row>
  </sheetData>
  <mergeCells count="9">
    <mergeCell ref="B38:D38"/>
    <mergeCell ref="B40:D40"/>
    <mergeCell ref="B45:B54"/>
    <mergeCell ref="I1:J1"/>
    <mergeCell ref="B13:B22"/>
    <mergeCell ref="B6:D6"/>
    <mergeCell ref="B8:D8"/>
    <mergeCell ref="A1:D1"/>
    <mergeCell ref="E1:F1"/>
  </mergeCell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L23"/>
  <sheetViews>
    <sheetView view="pageBreakPreview" zoomScaleNormal="100" zoomScaleSheetLayoutView="100" workbookViewId="0">
      <selection activeCell="D17" sqref="D17"/>
    </sheetView>
  </sheetViews>
  <sheetFormatPr baseColWidth="10" defaultColWidth="9.1640625" defaultRowHeight="14" outlineLevelCol="1" x14ac:dyDescent="0.15"/>
  <cols>
    <col min="1" max="3" width="9.1640625" style="1"/>
    <col min="4" max="4" width="25.6640625" style="1" customWidth="1"/>
    <col min="5" max="5" width="17.5" style="1" customWidth="1"/>
    <col min="6" max="7" width="11.5" style="1" customWidth="1" outlineLevel="1"/>
    <col min="8" max="12" width="11.5" style="1" customWidth="1"/>
    <col min="13" max="16384" width="9.1640625" style="1"/>
  </cols>
  <sheetData>
    <row r="1" spans="1:12" s="12" customFormat="1" x14ac:dyDescent="0.15">
      <c r="A1" s="117" t="str">
        <f>Cover!A4</f>
        <v>Saras Group</v>
      </c>
      <c r="B1" s="117"/>
      <c r="C1" s="117"/>
      <c r="D1" s="117"/>
      <c r="E1" s="13">
        <f>Cover!A2</f>
        <v>0</v>
      </c>
      <c r="F1" s="13" t="str">
        <f>Cover!A15</f>
        <v>EUR</v>
      </c>
      <c r="I1" s="116">
        <f>Cover!A13</f>
        <v>41928</v>
      </c>
      <c r="J1" s="116"/>
    </row>
    <row r="2" spans="1:12" ht="18" x14ac:dyDescent="0.2">
      <c r="B2" s="3" t="s">
        <v>22</v>
      </c>
    </row>
    <row r="3" spans="1:12" x14ac:dyDescent="0.15">
      <c r="H3" s="1" t="s">
        <v>3</v>
      </c>
    </row>
    <row r="4" spans="1:12" x14ac:dyDescent="0.15">
      <c r="F4" s="39" t="str">
        <f>Cover!A8</f>
        <v>H1 2014</v>
      </c>
      <c r="G4" s="39" t="str">
        <f>Cover!B8</f>
        <v>H1 2013</v>
      </c>
      <c r="H4" s="39" t="str">
        <f>Cover!C8</f>
        <v>12/31/2013</v>
      </c>
      <c r="I4" s="39" t="str">
        <f>Cover!D8</f>
        <v>12/31/2012</v>
      </c>
      <c r="J4" s="39">
        <f>Cover!E8</f>
        <v>0</v>
      </c>
      <c r="K4" s="39">
        <f>Cover!F8</f>
        <v>0</v>
      </c>
      <c r="L4" s="39">
        <f>Cover!G8</f>
        <v>0</v>
      </c>
    </row>
    <row r="6" spans="1:12" x14ac:dyDescent="0.15">
      <c r="D6" s="5" t="s">
        <v>23</v>
      </c>
      <c r="E6" s="5"/>
      <c r="F6" s="51">
        <v>13.148999999999999</v>
      </c>
      <c r="G6" s="51">
        <v>124.508</v>
      </c>
      <c r="H6" s="51">
        <v>323.76</v>
      </c>
      <c r="I6" s="51">
        <v>536.28</v>
      </c>
      <c r="J6" s="51"/>
      <c r="K6" s="51"/>
      <c r="L6" s="51"/>
    </row>
    <row r="7" spans="1:12" x14ac:dyDescent="0.15">
      <c r="F7" s="66"/>
      <c r="G7" s="66"/>
      <c r="H7" s="66"/>
      <c r="I7" s="66"/>
      <c r="J7" s="66"/>
      <c r="K7" s="66"/>
      <c r="L7" s="66"/>
    </row>
    <row r="8" spans="1:12" ht="15" x14ac:dyDescent="0.2">
      <c r="D8" s="5" t="s">
        <v>24</v>
      </c>
      <c r="E8" s="14" t="s">
        <v>27</v>
      </c>
      <c r="F8" s="51">
        <v>128.06100000000001</v>
      </c>
      <c r="G8" s="51">
        <v>58.139000000000003</v>
      </c>
      <c r="H8" s="51">
        <v>149.39699999999999</v>
      </c>
      <c r="I8" s="51">
        <v>41.758000000000003</v>
      </c>
      <c r="J8" s="51"/>
      <c r="K8" s="51"/>
      <c r="L8" s="51"/>
    </row>
    <row r="9" spans="1:12" x14ac:dyDescent="0.15">
      <c r="E9" s="14" t="s">
        <v>28</v>
      </c>
      <c r="F9" s="51">
        <v>-75.531999999999996</v>
      </c>
      <c r="G9" s="51">
        <v>-59.661000000000001</v>
      </c>
      <c r="H9" s="51">
        <v>-5.1719999999999997</v>
      </c>
      <c r="I9" s="51">
        <v>233.459</v>
      </c>
      <c r="J9" s="51"/>
      <c r="K9" s="51"/>
      <c r="L9" s="51"/>
    </row>
    <row r="10" spans="1:12" x14ac:dyDescent="0.15">
      <c r="E10" s="14" t="s">
        <v>29</v>
      </c>
      <c r="F10" s="51">
        <v>-25.099</v>
      </c>
      <c r="G10" s="51">
        <v>92.605000000000004</v>
      </c>
      <c r="H10" s="51">
        <v>211.52500000000001</v>
      </c>
      <c r="I10" s="51">
        <v>204.34200000000001</v>
      </c>
      <c r="J10" s="51"/>
      <c r="K10" s="51"/>
      <c r="L10" s="51"/>
    </row>
    <row r="11" spans="1:12" x14ac:dyDescent="0.15">
      <c r="E11" s="14" t="s">
        <v>30</v>
      </c>
      <c r="F11" s="51"/>
      <c r="G11" s="51"/>
      <c r="H11" s="51"/>
      <c r="I11" s="51"/>
      <c r="J11" s="51"/>
      <c r="K11" s="51"/>
      <c r="L11" s="51"/>
    </row>
    <row r="12" spans="1:12" x14ac:dyDescent="0.15">
      <c r="E12" s="14" t="s">
        <v>31</v>
      </c>
      <c r="F12" s="51"/>
      <c r="G12" s="51"/>
      <c r="H12" s="51"/>
      <c r="I12" s="51"/>
      <c r="J12" s="51"/>
      <c r="K12" s="51"/>
      <c r="L12" s="51"/>
    </row>
    <row r="13" spans="1:12" x14ac:dyDescent="0.15">
      <c r="E13" s="14" t="s">
        <v>32</v>
      </c>
      <c r="F13" s="51"/>
      <c r="G13" s="51"/>
      <c r="H13" s="51"/>
      <c r="I13" s="51"/>
      <c r="J13" s="51"/>
      <c r="K13" s="51"/>
      <c r="L13" s="51"/>
    </row>
    <row r="14" spans="1:12" x14ac:dyDescent="0.15">
      <c r="E14" s="14" t="s">
        <v>33</v>
      </c>
      <c r="F14" s="51">
        <f>-26.17+76.886</f>
        <v>50.715999999999994</v>
      </c>
      <c r="G14" s="51">
        <f>-2.99+68.976</f>
        <v>65.986000000000004</v>
      </c>
      <c r="H14" s="51">
        <f>-7.485+11.005</f>
        <v>3.5200000000000005</v>
      </c>
      <c r="I14" s="51">
        <f>18.961+26.597</f>
        <v>45.558</v>
      </c>
      <c r="J14" s="51"/>
      <c r="K14" s="51"/>
      <c r="L14" s="51"/>
    </row>
    <row r="15" spans="1:12" x14ac:dyDescent="0.15">
      <c r="F15" s="66"/>
      <c r="G15" s="66"/>
      <c r="H15" s="66"/>
      <c r="I15" s="66"/>
      <c r="J15" s="66"/>
      <c r="K15" s="66"/>
      <c r="L15" s="66"/>
    </row>
    <row r="16" spans="1:12" x14ac:dyDescent="0.15">
      <c r="D16" s="5" t="s">
        <v>25</v>
      </c>
      <c r="E16" s="5"/>
      <c r="F16" s="63">
        <f>F9+F8+F10+F11+F12+F13+F14</f>
        <v>78.146000000000001</v>
      </c>
      <c r="G16" s="63">
        <f t="shared" ref="G16:L16" si="0">G8+G9+G10+G11+G12+G13+G14</f>
        <v>157.06900000000002</v>
      </c>
      <c r="H16" s="63">
        <f t="shared" si="0"/>
        <v>359.27</v>
      </c>
      <c r="I16" s="63">
        <f t="shared" si="0"/>
        <v>525.11699999999996</v>
      </c>
      <c r="J16" s="63">
        <f t="shared" si="0"/>
        <v>0</v>
      </c>
      <c r="K16" s="63">
        <f t="shared" si="0"/>
        <v>0</v>
      </c>
      <c r="L16" s="63">
        <f t="shared" si="0"/>
        <v>0</v>
      </c>
    </row>
    <row r="17" spans="4:12" x14ac:dyDescent="0.15">
      <c r="F17" s="66"/>
      <c r="G17" s="66"/>
      <c r="H17" s="66"/>
      <c r="I17" s="66"/>
      <c r="J17" s="66"/>
      <c r="K17" s="66"/>
      <c r="L17" s="66"/>
    </row>
    <row r="18" spans="4:12" s="18" customFormat="1" x14ac:dyDescent="0.15">
      <c r="D18" s="19" t="s">
        <v>75</v>
      </c>
      <c r="F18" s="63">
        <f>IF(F9&gt;0,F9,0)</f>
        <v>0</v>
      </c>
      <c r="G18" s="63">
        <f t="shared" ref="G18:L18" si="1">IF(G8&gt;0,G8,0)</f>
        <v>58.139000000000003</v>
      </c>
      <c r="H18" s="63">
        <f t="shared" si="1"/>
        <v>149.39699999999999</v>
      </c>
      <c r="I18" s="63">
        <f t="shared" si="1"/>
        <v>41.758000000000003</v>
      </c>
      <c r="J18" s="63">
        <f t="shared" si="1"/>
        <v>0</v>
      </c>
      <c r="K18" s="63">
        <f t="shared" si="1"/>
        <v>0</v>
      </c>
      <c r="L18" s="63">
        <f t="shared" si="1"/>
        <v>0</v>
      </c>
    </row>
    <row r="19" spans="4:12" s="18" customFormat="1" x14ac:dyDescent="0.15">
      <c r="D19" s="19" t="s">
        <v>78</v>
      </c>
      <c r="F19" s="63">
        <f>IF(F9&gt;0,F6-F9,F6)</f>
        <v>13.148999999999999</v>
      </c>
      <c r="G19" s="63">
        <f t="shared" ref="G19:L19" si="2">IF(G8&gt;0,G6-G8,G6)</f>
        <v>66.369</v>
      </c>
      <c r="H19" s="63">
        <f t="shared" si="2"/>
        <v>174.363</v>
      </c>
      <c r="I19" s="63">
        <f t="shared" si="2"/>
        <v>494.52199999999999</v>
      </c>
      <c r="J19" s="63">
        <f t="shared" si="2"/>
        <v>0</v>
      </c>
      <c r="K19" s="63">
        <f t="shared" si="2"/>
        <v>0</v>
      </c>
      <c r="L19" s="63">
        <f t="shared" si="2"/>
        <v>0</v>
      </c>
    </row>
    <row r="20" spans="4:12" x14ac:dyDescent="0.15">
      <c r="D20" s="5" t="s">
        <v>34</v>
      </c>
      <c r="F20" s="63">
        <f>+F6-F16</f>
        <v>-64.997</v>
      </c>
      <c r="G20" s="63">
        <f t="shared" ref="G20:L20" si="3">+G6-G16</f>
        <v>-32.561000000000021</v>
      </c>
      <c r="H20" s="63">
        <f t="shared" si="3"/>
        <v>-35.509999999999991</v>
      </c>
      <c r="I20" s="63">
        <f t="shared" si="3"/>
        <v>11.163000000000011</v>
      </c>
      <c r="J20" s="63">
        <f t="shared" si="3"/>
        <v>0</v>
      </c>
      <c r="K20" s="63">
        <f t="shared" si="3"/>
        <v>0</v>
      </c>
      <c r="L20" s="63">
        <f t="shared" si="3"/>
        <v>0</v>
      </c>
    </row>
    <row r="21" spans="4:12" x14ac:dyDescent="0.15">
      <c r="H21" s="1" t="s">
        <v>143</v>
      </c>
      <c r="I21" s="1" t="s">
        <v>154</v>
      </c>
      <c r="J21" s="1" t="s">
        <v>155</v>
      </c>
      <c r="K21" s="1" t="s">
        <v>156</v>
      </c>
    </row>
    <row r="22" spans="4:12" x14ac:dyDescent="0.15">
      <c r="H22" s="1">
        <v>124.508</v>
      </c>
      <c r="I22" s="1">
        <v>640.42899999999997</v>
      </c>
      <c r="J22" s="1">
        <v>536.28</v>
      </c>
      <c r="K22" s="1">
        <f>H22+J22-I22</f>
        <v>20.359000000000037</v>
      </c>
    </row>
    <row r="23" spans="4:12" x14ac:dyDescent="0.15">
      <c r="D23" s="1" t="s">
        <v>38</v>
      </c>
      <c r="H23" s="1">
        <v>13.1</v>
      </c>
      <c r="I23" s="1">
        <v>124.5</v>
      </c>
      <c r="J23" s="1">
        <v>323.8</v>
      </c>
      <c r="K23" s="18">
        <f>H23+J23-I23</f>
        <v>212.40000000000003</v>
      </c>
    </row>
  </sheetData>
  <mergeCells count="2">
    <mergeCell ref="A1:D1"/>
    <mergeCell ref="I1:J1"/>
  </mergeCells>
  <pageMargins left="0.7" right="0.7" top="0.75" bottom="0.75" header="0.3" footer="0.3"/>
  <pageSetup paperSize="9"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R86"/>
  <sheetViews>
    <sheetView view="pageBreakPreview" zoomScale="85" zoomScaleNormal="55" zoomScaleSheetLayoutView="85" workbookViewId="0">
      <selection activeCell="C12" sqref="C12"/>
    </sheetView>
  </sheetViews>
  <sheetFormatPr baseColWidth="10" defaultColWidth="9.1640625" defaultRowHeight="14" outlineLevelRow="1" outlineLevelCol="4" x14ac:dyDescent="0.15"/>
  <cols>
    <col min="1" max="1" width="41" style="1" customWidth="1"/>
    <col min="2" max="3" width="11" style="1" customWidth="1" outlineLevel="2"/>
    <col min="4" max="5" width="12.5" style="18" hidden="1" customWidth="1" outlineLevel="4"/>
    <col min="6" max="6" width="12.5" style="18" hidden="1" customWidth="1" outlineLevel="3"/>
    <col min="7" max="7" width="11" style="1" customWidth="1" outlineLevel="1" collapsed="1"/>
    <col min="8" max="9" width="11" style="1" customWidth="1"/>
    <col min="10" max="11" width="11" style="18" customWidth="1"/>
    <col min="12" max="12" width="9.1640625" style="1"/>
    <col min="13" max="13" width="20" style="1" customWidth="1"/>
    <col min="14" max="18" width="10.83203125" style="1" customWidth="1"/>
    <col min="19" max="16384" width="9.1640625" style="1"/>
  </cols>
  <sheetData>
    <row r="1" spans="1:18" s="18" customFormat="1" ht="10.5" customHeight="1" x14ac:dyDescent="0.15">
      <c r="A1" s="28" t="s">
        <v>118</v>
      </c>
      <c r="B1" s="31" t="str">
        <f>Cover!A9</f>
        <v>Y</v>
      </c>
      <c r="C1" s="31" t="str">
        <f>Cover!B9</f>
        <v>Y</v>
      </c>
      <c r="D1" s="31" t="s">
        <v>77</v>
      </c>
      <c r="E1" s="31" t="s">
        <v>77</v>
      </c>
      <c r="F1" s="81" t="s">
        <v>77</v>
      </c>
      <c r="G1" s="33" t="str">
        <f>Cover!C9</f>
        <v>Y</v>
      </c>
      <c r="H1" s="31" t="str">
        <f>Cover!D9</f>
        <v>Y</v>
      </c>
      <c r="I1" s="31">
        <f>Cover!E9</f>
        <v>0</v>
      </c>
      <c r="J1" s="31">
        <f>Cover!F9</f>
        <v>0</v>
      </c>
      <c r="K1" s="31">
        <f>Cover!G9</f>
        <v>0</v>
      </c>
    </row>
    <row r="2" spans="1:18" s="18" customFormat="1" ht="10.5" customHeight="1" x14ac:dyDescent="0.15">
      <c r="A2" s="28" t="s">
        <v>119</v>
      </c>
      <c r="B2" s="31" t="str">
        <f>Cover!A10</f>
        <v>PwC</v>
      </c>
      <c r="C2" s="31" t="str">
        <f>Cover!B10</f>
        <v>PwC</v>
      </c>
      <c r="D2" s="31" t="s">
        <v>77</v>
      </c>
      <c r="E2" s="31" t="s">
        <v>77</v>
      </c>
      <c r="F2" s="81" t="s">
        <v>77</v>
      </c>
      <c r="G2" s="33" t="str">
        <f>Cover!C10</f>
        <v>PwC</v>
      </c>
      <c r="H2" s="31" t="str">
        <f>Cover!D10</f>
        <v>PwC</v>
      </c>
      <c r="I2" s="31" t="str">
        <f>Cover!E10</f>
        <v>Auditor</v>
      </c>
      <c r="J2" s="31" t="str">
        <f>Cover!F10</f>
        <v>Auditor</v>
      </c>
      <c r="K2" s="31" t="str">
        <f>Cover!G10</f>
        <v>Auditor</v>
      </c>
    </row>
    <row r="3" spans="1:18" s="18" customFormat="1" ht="10.5" customHeight="1" x14ac:dyDescent="0.15">
      <c r="A3" s="28" t="s">
        <v>120</v>
      </c>
      <c r="B3" s="31" t="str">
        <f>Cover!A11</f>
        <v>Opinion</v>
      </c>
      <c r="C3" s="31" t="str">
        <f>Cover!B11</f>
        <v>Opinion</v>
      </c>
      <c r="D3" s="31" t="s">
        <v>77</v>
      </c>
      <c r="E3" s="31" t="s">
        <v>77</v>
      </c>
      <c r="F3" s="81" t="s">
        <v>77</v>
      </c>
      <c r="G3" s="33" t="str">
        <f>Cover!C11</f>
        <v>Unqualified</v>
      </c>
      <c r="H3" s="31" t="str">
        <f>Cover!D11</f>
        <v>Unqualified</v>
      </c>
      <c r="I3" s="31" t="str">
        <f>Cover!E11</f>
        <v>Opinion</v>
      </c>
      <c r="J3" s="31" t="str">
        <f>Cover!F11</f>
        <v>Opinion</v>
      </c>
      <c r="K3" s="31" t="str">
        <f>Cover!G11</f>
        <v>Opinion</v>
      </c>
    </row>
    <row r="4" spans="1:18" s="18" customFormat="1" ht="6.75" customHeight="1" outlineLevel="1" x14ac:dyDescent="0.15">
      <c r="A4" s="28"/>
      <c r="B4" s="31"/>
      <c r="C4" s="31"/>
      <c r="D4" s="31"/>
      <c r="E4" s="31"/>
      <c r="F4" s="81"/>
      <c r="G4" s="33"/>
      <c r="H4" s="31"/>
      <c r="I4" s="31"/>
      <c r="J4" s="31"/>
      <c r="K4" s="31"/>
    </row>
    <row r="5" spans="1:18" s="18" customFormat="1" ht="10.5" customHeight="1" outlineLevel="1" x14ac:dyDescent="0.15">
      <c r="A5" s="28" t="str">
        <f>Cover!A16</f>
        <v>Average exchange rate (EUR/USD)</v>
      </c>
      <c r="B5" s="31">
        <f>Cover!A17</f>
        <v>0.72943000000000002</v>
      </c>
      <c r="C5" s="31">
        <f>Cover!B17</f>
        <v>0.76166500000000004</v>
      </c>
      <c r="D5" s="31">
        <v>0.8</v>
      </c>
      <c r="E5" s="31">
        <v>0.8</v>
      </c>
      <c r="F5" s="81">
        <v>0.8</v>
      </c>
      <c r="G5" s="33">
        <f>Cover!C17</f>
        <v>0.75324000000000002</v>
      </c>
      <c r="H5" s="31">
        <f>Cover!D17</f>
        <v>0.77815499999999993</v>
      </c>
      <c r="I5" s="31">
        <f>Cover!E17</f>
        <v>0.71886499999999998</v>
      </c>
      <c r="J5" s="31">
        <f>Cover!F17</f>
        <v>0.75475999999999999</v>
      </c>
      <c r="K5" s="31">
        <f>Cover!G17</f>
        <v>0.719055</v>
      </c>
      <c r="M5" s="36"/>
    </row>
    <row r="6" spans="1:18" s="18" customFormat="1" ht="10.5" customHeight="1" outlineLevel="1" x14ac:dyDescent="0.15">
      <c r="A6" s="28" t="s">
        <v>131</v>
      </c>
      <c r="B6" s="42">
        <f>B5/C5-1</f>
        <v>-4.2321755627474089E-2</v>
      </c>
      <c r="C6" s="31"/>
      <c r="D6" s="80">
        <f>D5/E5-1</f>
        <v>0</v>
      </c>
      <c r="E6" s="80">
        <f>E5/F5-1</f>
        <v>0</v>
      </c>
      <c r="F6" s="80">
        <f>F5/G5-1</f>
        <v>6.2078487600233601E-2</v>
      </c>
      <c r="G6" s="43">
        <f>G5/H5-1</f>
        <v>-3.201804267787256E-2</v>
      </c>
      <c r="H6" s="42">
        <f t="shared" ref="H6:J6" si="0">H5/I5-1</f>
        <v>8.2477238424460753E-2</v>
      </c>
      <c r="I6" s="42">
        <f t="shared" si="0"/>
        <v>-4.7558164184641538E-2</v>
      </c>
      <c r="J6" s="42">
        <f t="shared" si="0"/>
        <v>4.965545055663334E-2</v>
      </c>
      <c r="K6" s="31"/>
    </row>
    <row r="7" spans="1:18" s="18" customFormat="1" ht="6.75" customHeight="1" x14ac:dyDescent="0.15">
      <c r="A7" s="28"/>
      <c r="B7" s="31"/>
      <c r="C7" s="31"/>
      <c r="D7" s="31"/>
      <c r="E7" s="31"/>
      <c r="F7" s="81"/>
      <c r="G7" s="33"/>
      <c r="H7" s="31"/>
      <c r="I7" s="31"/>
      <c r="J7" s="31"/>
      <c r="K7" s="31"/>
    </row>
    <row r="8" spans="1:18" x14ac:dyDescent="0.15">
      <c r="A8" s="1" t="str">
        <f>"Currency "&amp;Cover!A15&amp;" MM"</f>
        <v>Currency EUR MM</v>
      </c>
      <c r="B8" s="44" t="str">
        <f>Cover!A8</f>
        <v>H1 2014</v>
      </c>
      <c r="C8" s="44" t="str">
        <f>Cover!B8</f>
        <v>H1 2013</v>
      </c>
      <c r="D8" s="82" t="s">
        <v>157</v>
      </c>
      <c r="E8" s="82" t="s">
        <v>158</v>
      </c>
      <c r="F8" s="102" t="s">
        <v>159</v>
      </c>
      <c r="G8" s="45" t="str">
        <f>Cover!C8</f>
        <v>12/31/2013</v>
      </c>
      <c r="H8" s="44" t="str">
        <f>Cover!D8</f>
        <v>12/31/2012</v>
      </c>
      <c r="I8" s="44">
        <f>Cover!E8</f>
        <v>0</v>
      </c>
      <c r="J8" s="44">
        <f>Cover!F8</f>
        <v>0</v>
      </c>
      <c r="K8" s="44">
        <f>Cover!G8</f>
        <v>0</v>
      </c>
    </row>
    <row r="9" spans="1:18" x14ac:dyDescent="0.15">
      <c r="A9" s="15" t="s">
        <v>74</v>
      </c>
      <c r="B9" s="16"/>
      <c r="C9" s="16"/>
      <c r="D9" s="120" t="s">
        <v>160</v>
      </c>
      <c r="E9" s="120"/>
      <c r="F9" s="120"/>
      <c r="G9" s="34"/>
      <c r="H9" s="16"/>
      <c r="I9" s="16"/>
      <c r="J9" s="16"/>
      <c r="K9" s="16"/>
      <c r="M9" s="15" t="s">
        <v>81</v>
      </c>
      <c r="N9" s="15"/>
      <c r="O9" s="15"/>
      <c r="P9" s="25"/>
      <c r="Q9" s="15"/>
      <c r="R9" s="15"/>
    </row>
    <row r="10" spans="1:18" x14ac:dyDescent="0.15">
      <c r="A10" s="1" t="s">
        <v>106</v>
      </c>
      <c r="B10" s="51">
        <v>5536.8490000000002</v>
      </c>
      <c r="C10" s="52">
        <v>5444.817</v>
      </c>
      <c r="D10" s="85">
        <v>9460</v>
      </c>
      <c r="E10" s="85">
        <v>10212</v>
      </c>
      <c r="F10" s="89">
        <v>10877</v>
      </c>
      <c r="G10" s="53">
        <v>11229.964</v>
      </c>
      <c r="H10" s="51">
        <v>11889.249</v>
      </c>
      <c r="I10" s="51"/>
      <c r="J10" s="51"/>
      <c r="K10" s="51"/>
      <c r="M10" s="18" t="s">
        <v>76</v>
      </c>
      <c r="N10" s="21"/>
      <c r="O10" s="21"/>
      <c r="P10" s="21"/>
      <c r="Q10" s="21"/>
      <c r="R10" s="21"/>
    </row>
    <row r="11" spans="1:18" x14ac:dyDescent="0.15">
      <c r="A11" s="1" t="s">
        <v>73</v>
      </c>
      <c r="B11" s="51">
        <f>+B10-5157.553-295.655</f>
        <v>83.641000000000304</v>
      </c>
      <c r="C11" s="52">
        <f>C10-5081.667-264.383</f>
        <v>98.766999999999655</v>
      </c>
      <c r="D11" s="85">
        <f>+D10-8787</f>
        <v>673</v>
      </c>
      <c r="E11" s="85">
        <f>+E10-9502</f>
        <v>710</v>
      </c>
      <c r="F11" s="89">
        <f>+F10-10186</f>
        <v>691</v>
      </c>
      <c r="G11" s="53">
        <f>+G10-10484.447-542.693</f>
        <v>202.82399999999984</v>
      </c>
      <c r="H11" s="51">
        <f>H10-10975.704-601.498</f>
        <v>312.04700000000003</v>
      </c>
      <c r="I11" s="51"/>
      <c r="J11" s="51"/>
      <c r="K11" s="51"/>
      <c r="M11" s="26" t="s">
        <v>82</v>
      </c>
      <c r="N11" s="21"/>
      <c r="O11" s="21"/>
      <c r="P11" s="21"/>
      <c r="Q11" s="21"/>
      <c r="R11" s="21"/>
    </row>
    <row r="12" spans="1:18" x14ac:dyDescent="0.15">
      <c r="A12" s="1" t="s">
        <v>72</v>
      </c>
      <c r="B12" s="51">
        <f>'1. EBITDA cleaner'!E6</f>
        <v>3.9470000000000063</v>
      </c>
      <c r="C12" s="52">
        <f>'1. EBITDA cleaner'!F6</f>
        <v>13.817999999999957</v>
      </c>
      <c r="D12" s="85">
        <v>230</v>
      </c>
      <c r="E12" s="85">
        <v>215</v>
      </c>
      <c r="F12" s="89">
        <v>111</v>
      </c>
      <c r="G12" s="53">
        <f>'1. EBITDA cleaner'!G6</f>
        <v>83.078000000000017</v>
      </c>
      <c r="H12" s="51">
        <f>'1. EBITDA cleaner'!H6</f>
        <v>258.72400000000005</v>
      </c>
      <c r="I12" s="51">
        <f>'1. EBITDA cleaner'!I6</f>
        <v>0</v>
      </c>
      <c r="J12" s="51">
        <f>'1. EBITDA cleaner'!J6</f>
        <v>0</v>
      </c>
      <c r="K12" s="51">
        <f>'1. EBITDA cleaner'!K6</f>
        <v>0</v>
      </c>
      <c r="M12" s="26" t="s">
        <v>83</v>
      </c>
      <c r="N12" s="21"/>
      <c r="O12" s="21"/>
      <c r="P12" s="21"/>
      <c r="Q12" s="21"/>
      <c r="R12" s="21"/>
    </row>
    <row r="13" spans="1:18" x14ac:dyDescent="0.15">
      <c r="A13" s="1" t="s">
        <v>132</v>
      </c>
      <c r="B13" s="51">
        <f>'1. EBITDA cleaner'!E26*-1</f>
        <v>-28.787000000000006</v>
      </c>
      <c r="C13" s="52">
        <f>'1. EBITDA cleaner'!F26*-1</f>
        <v>-3.5079999999999956</v>
      </c>
      <c r="D13" s="85">
        <v>-28</v>
      </c>
      <c r="E13" s="85">
        <v>-28</v>
      </c>
      <c r="F13" s="89">
        <v>-30.8</v>
      </c>
      <c r="G13" s="53">
        <f>'1. EBITDA cleaner'!G26*-1</f>
        <v>-29.438999999999993</v>
      </c>
      <c r="H13" s="51">
        <f>'1. EBITDA cleaner'!H26*-1</f>
        <v>-51.884000000000015</v>
      </c>
      <c r="I13" s="51">
        <f>'1. EBITDA cleaner'!I26*-1</f>
        <v>0</v>
      </c>
      <c r="J13" s="51">
        <f>'1. EBITDA cleaner'!J26*-1</f>
        <v>0</v>
      </c>
      <c r="K13" s="51">
        <f>'1. EBITDA cleaner'!K26*-1</f>
        <v>0</v>
      </c>
      <c r="M13" s="26" t="s">
        <v>84</v>
      </c>
      <c r="N13" s="21"/>
      <c r="O13" s="21"/>
      <c r="P13" s="21"/>
      <c r="Q13" s="21"/>
      <c r="R13" s="21"/>
    </row>
    <row r="14" spans="1:18" x14ac:dyDescent="0.15">
      <c r="A14" s="1" t="s">
        <v>0</v>
      </c>
      <c r="B14" s="51">
        <f>'1. EBITDA cleaner'!E27</f>
        <v>-83.337000000000003</v>
      </c>
      <c r="C14" s="52">
        <f>'1. EBITDA cleaner'!F27</f>
        <v>-201.25700000000001</v>
      </c>
      <c r="D14" s="85">
        <v>20.2</v>
      </c>
      <c r="E14" s="85">
        <v>3.65</v>
      </c>
      <c r="F14" s="89">
        <v>-86.9</v>
      </c>
      <c r="G14" s="53">
        <f>'1. EBITDA cleaner'!G27</f>
        <v>-271.08</v>
      </c>
      <c r="H14" s="51">
        <f>'1. EBITDA cleaner'!H27</f>
        <v>-88.575999999999993</v>
      </c>
      <c r="I14" s="51">
        <f>'1. EBITDA cleaner'!I27</f>
        <v>0</v>
      </c>
      <c r="J14" s="51">
        <f>'1. EBITDA cleaner'!J27</f>
        <v>0</v>
      </c>
      <c r="K14" s="51">
        <f>'1. EBITDA cleaner'!K27</f>
        <v>0</v>
      </c>
      <c r="M14" s="26" t="s">
        <v>85</v>
      </c>
      <c r="N14" s="21"/>
      <c r="O14" s="21"/>
      <c r="P14" s="21"/>
      <c r="Q14" s="21"/>
      <c r="R14" s="21"/>
    </row>
    <row r="15" spans="1:18" s="18" customFormat="1" x14ac:dyDescent="0.15">
      <c r="A15" s="18" t="s">
        <v>103</v>
      </c>
      <c r="B15" s="51">
        <f>'1. EBITDA cleaner'!E10*-1</f>
        <v>11.7</v>
      </c>
      <c r="C15" s="52">
        <f>'1. EBITDA cleaner'!F10*-1</f>
        <v>14.441000000000001</v>
      </c>
      <c r="D15" s="86" t="s">
        <v>77</v>
      </c>
      <c r="E15" s="86" t="s">
        <v>77</v>
      </c>
      <c r="F15" s="103" t="s">
        <v>77</v>
      </c>
      <c r="G15" s="53">
        <f>('1. EBITDA cleaner'!G10*-1)-232.455</f>
        <v>-243.952</v>
      </c>
      <c r="H15" s="51">
        <f>'1. EBITDA cleaner'!H10*-1</f>
        <v>-82.677999999999997</v>
      </c>
      <c r="I15" s="51">
        <f>'1. EBITDA cleaner'!I10*-1</f>
        <v>0</v>
      </c>
      <c r="J15" s="51">
        <f>'1. EBITDA cleaner'!J10*-1</f>
        <v>0</v>
      </c>
      <c r="K15" s="51">
        <f>'1. EBITDA cleaner'!K10*-1</f>
        <v>0</v>
      </c>
      <c r="M15" s="26" t="s">
        <v>86</v>
      </c>
      <c r="N15" s="21"/>
      <c r="O15" s="21"/>
      <c r="P15" s="21"/>
      <c r="Q15" s="21"/>
      <c r="R15" s="21"/>
    </row>
    <row r="16" spans="1:18" x14ac:dyDescent="0.15">
      <c r="A16" s="15" t="s">
        <v>71</v>
      </c>
      <c r="B16" s="16"/>
      <c r="C16" s="16"/>
      <c r="D16" s="120" t="s">
        <v>160</v>
      </c>
      <c r="E16" s="120"/>
      <c r="F16" s="120"/>
      <c r="G16" s="34"/>
      <c r="H16" s="16"/>
      <c r="I16" s="16"/>
      <c r="J16" s="16"/>
      <c r="K16" s="16"/>
      <c r="M16" s="18" t="s">
        <v>87</v>
      </c>
      <c r="N16" s="21"/>
      <c r="O16" s="21"/>
      <c r="P16" s="21"/>
      <c r="Q16" s="21"/>
      <c r="R16" s="21"/>
    </row>
    <row r="17" spans="1:18" x14ac:dyDescent="0.15">
      <c r="A17" s="1" t="s">
        <v>34</v>
      </c>
      <c r="B17" s="51">
        <f>'2. FFO calculator'!F20</f>
        <v>-64.997</v>
      </c>
      <c r="C17" s="52">
        <f>'2. FFO calculator'!G20</f>
        <v>-32.561000000000021</v>
      </c>
      <c r="D17" s="85">
        <f>D19-D18</f>
        <v>180.07</v>
      </c>
      <c r="E17" s="85">
        <f>E19-E18</f>
        <v>179.97</v>
      </c>
      <c r="F17" s="89">
        <f>F19-F18</f>
        <v>85.899999999999991</v>
      </c>
      <c r="G17" s="53">
        <f>'2. FFO calculator'!H20</f>
        <v>-35.509999999999991</v>
      </c>
      <c r="H17" s="51">
        <f>'2. FFO calculator'!I20</f>
        <v>11.163000000000011</v>
      </c>
      <c r="I17" s="51">
        <f>'2. FFO calculator'!J20</f>
        <v>0</v>
      </c>
      <c r="J17" s="51">
        <f>'2. FFO calculator'!K20</f>
        <v>0</v>
      </c>
      <c r="K17" s="51">
        <f>'2. FFO calculator'!L20</f>
        <v>0</v>
      </c>
      <c r="M17" s="18" t="s">
        <v>88</v>
      </c>
      <c r="N17" s="21"/>
      <c r="O17" s="21"/>
      <c r="P17" s="21"/>
      <c r="Q17" s="21"/>
      <c r="R17" s="21"/>
    </row>
    <row r="18" spans="1:18" ht="11.25" customHeight="1" x14ac:dyDescent="0.15">
      <c r="A18" s="17" t="s">
        <v>70</v>
      </c>
      <c r="B18" s="48">
        <f>'2. FFO calculator'!F16</f>
        <v>78.146000000000001</v>
      </c>
      <c r="C18" s="49">
        <f>'2. FFO calculator'!G16</f>
        <v>157.06900000000002</v>
      </c>
      <c r="D18" s="88">
        <f>20.1+37-58.4-2.77</f>
        <v>-4.0699999999999967</v>
      </c>
      <c r="E18" s="88">
        <f>28.7+53-83.7-3.97</f>
        <v>-5.9700000000000006</v>
      </c>
      <c r="F18" s="104">
        <f>129-73.1-28.9+15.1</f>
        <v>42.100000000000009</v>
      </c>
      <c r="G18" s="50">
        <f>'2. FFO calculator'!H16</f>
        <v>359.27</v>
      </c>
      <c r="H18" s="48">
        <f>'2. FFO calculator'!I16</f>
        <v>525.11699999999996</v>
      </c>
      <c r="I18" s="48">
        <f>'2. FFO calculator'!J16</f>
        <v>0</v>
      </c>
      <c r="J18" s="48">
        <f>'2. FFO calculator'!K16</f>
        <v>0</v>
      </c>
      <c r="K18" s="48">
        <f>'2. FFO calculator'!L16</f>
        <v>0</v>
      </c>
      <c r="M18" s="24" t="s">
        <v>89</v>
      </c>
      <c r="N18" s="27"/>
      <c r="O18" s="27"/>
      <c r="P18" s="27"/>
      <c r="Q18" s="27"/>
      <c r="R18" s="27"/>
    </row>
    <row r="19" spans="1:18" x14ac:dyDescent="0.15">
      <c r="A19" s="1" t="s">
        <v>23</v>
      </c>
      <c r="B19" s="51">
        <f>'2. FFO calculator'!F6</f>
        <v>13.148999999999999</v>
      </c>
      <c r="C19" s="52">
        <f>'2. FFO calculator'!G6</f>
        <v>124.508</v>
      </c>
      <c r="D19" s="85">
        <v>176</v>
      </c>
      <c r="E19" s="85">
        <v>174</v>
      </c>
      <c r="F19" s="89">
        <v>128</v>
      </c>
      <c r="G19" s="53">
        <f>'2. FFO calculator'!H6</f>
        <v>323.76</v>
      </c>
      <c r="H19" s="51">
        <f>'2. FFO calculator'!I6</f>
        <v>536.28</v>
      </c>
      <c r="I19" s="51">
        <f>'2. FFO calculator'!J6</f>
        <v>0</v>
      </c>
      <c r="J19" s="51">
        <f>'2. FFO calculator'!K6</f>
        <v>0</v>
      </c>
      <c r="K19" s="51">
        <f>'2. FFO calculator'!L6</f>
        <v>0</v>
      </c>
    </row>
    <row r="20" spans="1:18" x14ac:dyDescent="0.15">
      <c r="A20" s="1" t="s">
        <v>69</v>
      </c>
      <c r="B20" s="51">
        <f>-0.042-3.51-0.236-0.903-35.145</f>
        <v>-39.835999999999999</v>
      </c>
      <c r="C20" s="52">
        <f>-0.212-15.561-0.117-0.61-46.675</f>
        <v>-63.174999999999997</v>
      </c>
      <c r="D20" s="85">
        <v>-104</v>
      </c>
      <c r="E20" s="85">
        <v>-104</v>
      </c>
      <c r="F20" s="89">
        <v>-92.2</v>
      </c>
      <c r="G20" s="53">
        <f>-0.397-22.134-0.481-1.051-84.815</f>
        <v>-108.878</v>
      </c>
      <c r="H20" s="51">
        <f>-1.201-36.22-1.06-4.005-70.65</f>
        <v>-113.13600000000001</v>
      </c>
      <c r="I20" s="51"/>
      <c r="J20" s="51"/>
      <c r="K20" s="51"/>
    </row>
    <row r="21" spans="1:18" ht="11.25" customHeight="1" x14ac:dyDescent="0.15">
      <c r="A21" s="17" t="s">
        <v>68</v>
      </c>
      <c r="B21" s="48"/>
      <c r="C21" s="49"/>
      <c r="D21" s="88"/>
      <c r="E21" s="88"/>
      <c r="F21" s="104"/>
      <c r="G21" s="50"/>
      <c r="H21" s="48"/>
      <c r="I21" s="48"/>
      <c r="J21" s="48"/>
      <c r="K21" s="48"/>
    </row>
    <row r="22" spans="1:18" x14ac:dyDescent="0.15">
      <c r="A22" s="1" t="s">
        <v>67</v>
      </c>
      <c r="B22" s="51">
        <f>B19+B20</f>
        <v>-26.686999999999998</v>
      </c>
      <c r="C22" s="52">
        <f t="shared" ref="C22:I22" si="1">C19+C20</f>
        <v>61.332999999999998</v>
      </c>
      <c r="D22" s="85">
        <v>44.2</v>
      </c>
      <c r="E22" s="85">
        <v>42.2</v>
      </c>
      <c r="F22" s="89">
        <v>5.19</v>
      </c>
      <c r="G22" s="53">
        <f t="shared" si="1"/>
        <v>214.88200000000001</v>
      </c>
      <c r="H22" s="51">
        <f t="shared" si="1"/>
        <v>423.14399999999995</v>
      </c>
      <c r="I22" s="51">
        <f t="shared" si="1"/>
        <v>0</v>
      </c>
      <c r="J22" s="51">
        <f t="shared" ref="J22:K22" si="2">J19+J20</f>
        <v>0</v>
      </c>
      <c r="K22" s="51">
        <f t="shared" si="2"/>
        <v>0</v>
      </c>
    </row>
    <row r="23" spans="1:18" s="18" customFormat="1" ht="11.25" customHeight="1" outlineLevel="1" x14ac:dyDescent="0.15">
      <c r="A23" s="17" t="s">
        <v>111</v>
      </c>
      <c r="B23" s="48">
        <f>B17+B26</f>
        <v>-64.997</v>
      </c>
      <c r="C23" s="49">
        <f t="shared" ref="C23:K23" si="3">C17+C26</f>
        <v>-32.561000000000021</v>
      </c>
      <c r="D23" s="88">
        <f t="shared" si="3"/>
        <v>180.07</v>
      </c>
      <c r="E23" s="88">
        <f t="shared" si="3"/>
        <v>179.97</v>
      </c>
      <c r="F23" s="104">
        <f t="shared" si="3"/>
        <v>85.899999999999991</v>
      </c>
      <c r="G23" s="50">
        <f t="shared" si="3"/>
        <v>-35.509999999999991</v>
      </c>
      <c r="H23" s="48">
        <f t="shared" si="3"/>
        <v>11.163000000000011</v>
      </c>
      <c r="I23" s="48">
        <f t="shared" si="3"/>
        <v>0</v>
      </c>
      <c r="J23" s="48">
        <f t="shared" si="3"/>
        <v>0</v>
      </c>
      <c r="K23" s="48">
        <f t="shared" si="3"/>
        <v>0</v>
      </c>
    </row>
    <row r="24" spans="1:18" x14ac:dyDescent="0.15">
      <c r="A24" s="1" t="s">
        <v>66</v>
      </c>
      <c r="B24" s="51"/>
      <c r="C24" s="52"/>
      <c r="D24" s="85"/>
      <c r="E24" s="85"/>
      <c r="F24" s="89"/>
      <c r="G24" s="53"/>
      <c r="H24" s="76"/>
      <c r="I24" s="51"/>
      <c r="J24" s="51"/>
      <c r="K24" s="51"/>
    </row>
    <row r="25" spans="1:18" s="18" customFormat="1" x14ac:dyDescent="0.15">
      <c r="A25" s="18" t="s">
        <v>90</v>
      </c>
      <c r="B25" s="51">
        <f>0.699+3.493</f>
        <v>4.1920000000000002</v>
      </c>
      <c r="C25" s="52">
        <f>0.09+3.915+7.814+5.911+0.03</f>
        <v>17.759999999999998</v>
      </c>
      <c r="D25" s="85"/>
      <c r="E25" s="85"/>
      <c r="F25" s="89"/>
      <c r="G25" s="74">
        <f>0.09+5.366+7.829+6.005</f>
        <v>19.29</v>
      </c>
      <c r="H25" s="51">
        <f>1.371+2.941+0.369+2.828</f>
        <v>7.5089999999999986</v>
      </c>
      <c r="I25" s="75"/>
      <c r="J25" s="51"/>
      <c r="K25" s="51"/>
    </row>
    <row r="26" spans="1:18" x14ac:dyDescent="0.15">
      <c r="A26" s="1" t="s">
        <v>65</v>
      </c>
      <c r="B26" s="51"/>
      <c r="C26" s="52"/>
      <c r="D26" s="85"/>
      <c r="E26" s="85"/>
      <c r="F26" s="89"/>
      <c r="G26" s="53"/>
      <c r="H26" s="77"/>
      <c r="I26" s="51"/>
      <c r="J26" s="51"/>
      <c r="K26" s="51"/>
    </row>
    <row r="27" spans="1:18" x14ac:dyDescent="0.15">
      <c r="A27" s="1" t="s">
        <v>64</v>
      </c>
      <c r="B27" s="51"/>
      <c r="C27" s="52"/>
      <c r="D27" s="85"/>
      <c r="E27" s="85"/>
      <c r="F27" s="89"/>
      <c r="G27" s="53">
        <v>-5.9429999999999996</v>
      </c>
      <c r="H27" s="51"/>
      <c r="I27" s="51"/>
      <c r="J27" s="51"/>
      <c r="K27" s="51"/>
    </row>
    <row r="28" spans="1:18" x14ac:dyDescent="0.15">
      <c r="A28" s="1" t="s">
        <v>63</v>
      </c>
      <c r="B28" s="51">
        <f>-32.012-19.477</f>
        <v>-51.489000000000004</v>
      </c>
      <c r="C28" s="52">
        <v>-90.144999999999996</v>
      </c>
      <c r="D28" s="85">
        <v>-126</v>
      </c>
      <c r="E28" s="85">
        <v>-50</v>
      </c>
      <c r="F28" s="89">
        <v>-31</v>
      </c>
      <c r="G28" s="53">
        <f>-13.402-35.17</f>
        <v>-48.572000000000003</v>
      </c>
      <c r="H28" s="51">
        <f>-291.325-198.044+171.954</f>
        <v>-317.41500000000002</v>
      </c>
      <c r="I28" s="51"/>
      <c r="J28" s="51"/>
      <c r="K28" s="51"/>
    </row>
    <row r="29" spans="1:18" s="18" customFormat="1" x14ac:dyDescent="0.15">
      <c r="A29" s="18" t="s">
        <v>80</v>
      </c>
      <c r="B29" s="51"/>
      <c r="C29" s="52"/>
      <c r="D29" s="85"/>
      <c r="E29" s="85"/>
      <c r="F29" s="89"/>
      <c r="G29" s="53"/>
      <c r="H29" s="51"/>
      <c r="I29" s="51"/>
      <c r="J29" s="51"/>
      <c r="K29" s="51"/>
      <c r="P29" s="78"/>
    </row>
    <row r="30" spans="1:18" s="18" customFormat="1" hidden="1" outlineLevel="1" x14ac:dyDescent="0.15">
      <c r="A30" s="28" t="s">
        <v>99</v>
      </c>
      <c r="B30" s="51">
        <f>'1. EBITDA cleaner'!E24</f>
        <v>97.936000000000007</v>
      </c>
      <c r="C30" s="52">
        <f>'1. EBITDA cleaner'!F24</f>
        <v>329.50799999999998</v>
      </c>
      <c r="D30" s="85">
        <v>160</v>
      </c>
      <c r="E30" s="85">
        <v>168</v>
      </c>
      <c r="F30" s="89">
        <v>179</v>
      </c>
      <c r="G30" s="53">
        <f>'1. EBITDA cleaner'!G24</f>
        <v>425.74200000000002</v>
      </c>
      <c r="H30" s="51">
        <f>'1. EBITDA cleaner'!H24</f>
        <v>244.18600000000001</v>
      </c>
      <c r="I30" s="51">
        <f>'1. EBITDA cleaner'!I24</f>
        <v>0</v>
      </c>
      <c r="J30" s="51">
        <f>'1. EBITDA cleaner'!J24</f>
        <v>0</v>
      </c>
      <c r="K30" s="51">
        <f>'1. EBITDA cleaner'!K24</f>
        <v>0</v>
      </c>
    </row>
    <row r="31" spans="1:18" collapsed="1" x14ac:dyDescent="0.15">
      <c r="A31" s="15" t="s">
        <v>62</v>
      </c>
      <c r="B31" s="16"/>
      <c r="C31" s="16"/>
      <c r="D31" s="120" t="s">
        <v>160</v>
      </c>
      <c r="E31" s="120"/>
      <c r="F31" s="120"/>
      <c r="G31" s="34"/>
      <c r="H31" s="16"/>
      <c r="I31" s="16"/>
      <c r="J31" s="16"/>
      <c r="K31" s="16"/>
      <c r="O31" s="79">
        <f>1/1.25</f>
        <v>0.8</v>
      </c>
    </row>
    <row r="32" spans="1:18" x14ac:dyDescent="0.15">
      <c r="A32" s="1" t="s">
        <v>61</v>
      </c>
      <c r="B32" s="51">
        <v>450.77699999999999</v>
      </c>
      <c r="C32" s="52">
        <v>322.24900000000002</v>
      </c>
      <c r="D32" s="85">
        <v>420</v>
      </c>
      <c r="E32" s="85">
        <v>501</v>
      </c>
      <c r="F32" s="89">
        <v>508</v>
      </c>
      <c r="G32" s="53">
        <v>506.827</v>
      </c>
      <c r="H32" s="51">
        <v>302.95</v>
      </c>
      <c r="I32" s="51"/>
      <c r="J32" s="51"/>
      <c r="K32" s="51"/>
    </row>
    <row r="33" spans="1:11" s="18" customFormat="1" x14ac:dyDescent="0.15">
      <c r="A33" s="18" t="s">
        <v>114</v>
      </c>
      <c r="B33" s="51">
        <v>1154.079</v>
      </c>
      <c r="C33" s="52">
        <v>1268.345</v>
      </c>
      <c r="D33" s="85">
        <v>1085</v>
      </c>
      <c r="E33" s="85">
        <v>1054</v>
      </c>
      <c r="F33" s="89">
        <v>1118</v>
      </c>
      <c r="G33" s="53">
        <v>1217.425</v>
      </c>
      <c r="H33" s="51">
        <v>1288.758</v>
      </c>
      <c r="I33" s="51"/>
      <c r="J33" s="51"/>
      <c r="K33" s="51"/>
    </row>
    <row r="34" spans="1:11" x14ac:dyDescent="0.15">
      <c r="A34" s="1" t="s">
        <v>60</v>
      </c>
      <c r="B34" s="51">
        <v>3716.1019999999999</v>
      </c>
      <c r="C34" s="52">
        <v>3806.3879999999999</v>
      </c>
      <c r="D34" s="86" t="s">
        <v>107</v>
      </c>
      <c r="E34" s="86" t="s">
        <v>107</v>
      </c>
      <c r="F34" s="103" t="s">
        <v>107</v>
      </c>
      <c r="G34" s="53">
        <v>3813.5309999999999</v>
      </c>
      <c r="H34" s="51">
        <v>3939.922</v>
      </c>
      <c r="I34" s="51"/>
      <c r="J34" s="51"/>
      <c r="K34" s="51"/>
    </row>
    <row r="35" spans="1:11" s="18" customFormat="1" outlineLevel="1" x14ac:dyDescent="0.15">
      <c r="A35" s="28" t="s">
        <v>117</v>
      </c>
      <c r="B35" s="48">
        <v>182.99100000000001</v>
      </c>
      <c r="C35" s="49">
        <v>129.31700000000001</v>
      </c>
      <c r="D35" s="88"/>
      <c r="E35" s="88"/>
      <c r="F35" s="104"/>
      <c r="G35" s="50">
        <v>180.97</v>
      </c>
      <c r="H35" s="48">
        <v>166.99700000000001</v>
      </c>
      <c r="I35" s="48"/>
      <c r="J35" s="48"/>
      <c r="K35" s="48"/>
    </row>
    <row r="36" spans="1:11" s="18" customFormat="1" outlineLevel="1" x14ac:dyDescent="0.15">
      <c r="A36" s="28" t="s">
        <v>116</v>
      </c>
      <c r="B36" s="48">
        <v>367.05399999999997</v>
      </c>
      <c r="C36" s="49">
        <v>405.286</v>
      </c>
      <c r="D36" s="88"/>
      <c r="E36" s="88"/>
      <c r="F36" s="104"/>
      <c r="G36" s="50">
        <v>385.78</v>
      </c>
      <c r="H36" s="48">
        <v>424.89100000000002</v>
      </c>
      <c r="I36" s="48"/>
      <c r="J36" s="48"/>
      <c r="K36" s="48"/>
    </row>
    <row r="37" spans="1:11" x14ac:dyDescent="0.15">
      <c r="A37" s="1" t="s">
        <v>59</v>
      </c>
      <c r="B37" s="51">
        <f t="shared" ref="B37:C37" si="4">SUM(B35:B36)</f>
        <v>550.04499999999996</v>
      </c>
      <c r="C37" s="52">
        <f t="shared" si="4"/>
        <v>534.60300000000007</v>
      </c>
      <c r="D37" s="85">
        <v>360</v>
      </c>
      <c r="E37" s="85">
        <v>486</v>
      </c>
      <c r="F37" s="89">
        <v>536</v>
      </c>
      <c r="G37" s="53">
        <f>SUM(G35:G36)</f>
        <v>566.75</v>
      </c>
      <c r="H37" s="51">
        <f t="shared" ref="H37:K37" si="5">SUM(H35:H36)</f>
        <v>591.88800000000003</v>
      </c>
      <c r="I37" s="51">
        <f t="shared" si="5"/>
        <v>0</v>
      </c>
      <c r="J37" s="51">
        <f t="shared" si="5"/>
        <v>0</v>
      </c>
      <c r="K37" s="51">
        <f t="shared" si="5"/>
        <v>0</v>
      </c>
    </row>
    <row r="38" spans="1:11" ht="11.25" customHeight="1" x14ac:dyDescent="0.15">
      <c r="A38" s="17" t="s">
        <v>115</v>
      </c>
      <c r="B38" s="48">
        <f>B37+9.932+19.239</f>
        <v>579.21600000000001</v>
      </c>
      <c r="C38" s="49">
        <f>C37+22.932+9.99</f>
        <v>567.52500000000009</v>
      </c>
      <c r="D38" s="88">
        <f>D37</f>
        <v>360</v>
      </c>
      <c r="E38" s="88">
        <f>E37</f>
        <v>486</v>
      </c>
      <c r="F38" s="104">
        <f>F37</f>
        <v>536</v>
      </c>
      <c r="G38" s="109">
        <f>G37</f>
        <v>566.75</v>
      </c>
      <c r="H38" s="48">
        <f>H37</f>
        <v>591.88800000000003</v>
      </c>
      <c r="I38" s="48"/>
      <c r="J38" s="48"/>
      <c r="K38" s="48"/>
    </row>
    <row r="39" spans="1:11" x14ac:dyDescent="0.15">
      <c r="A39" s="1" t="s">
        <v>58</v>
      </c>
      <c r="B39" s="51">
        <v>838.62599999999998</v>
      </c>
      <c r="C39" s="52">
        <v>990.47799999999995</v>
      </c>
      <c r="D39" s="85">
        <v>965</v>
      </c>
      <c r="E39" s="85">
        <v>886</v>
      </c>
      <c r="F39" s="89">
        <v>907</v>
      </c>
      <c r="G39" s="53">
        <v>921.202</v>
      </c>
      <c r="H39" s="51">
        <v>1196.6980000000001</v>
      </c>
      <c r="I39" s="51"/>
      <c r="J39" s="51"/>
      <c r="K39" s="51"/>
    </row>
    <row r="40" spans="1:11" x14ac:dyDescent="0.15">
      <c r="A40" s="1" t="s">
        <v>57</v>
      </c>
      <c r="B40" s="51">
        <f>+B38+B39</f>
        <v>1417.8420000000001</v>
      </c>
      <c r="C40" s="52">
        <f>+C38+C39</f>
        <v>1558.0030000000002</v>
      </c>
      <c r="D40" s="85">
        <f>D39+D37</f>
        <v>1325</v>
      </c>
      <c r="E40" s="85">
        <f>E39+E37</f>
        <v>1372</v>
      </c>
      <c r="F40" s="99">
        <f>F39+F37</f>
        <v>1443</v>
      </c>
      <c r="G40" s="53">
        <f>+G38+G39</f>
        <v>1487.952</v>
      </c>
      <c r="H40" s="51">
        <f>+H38+H39</f>
        <v>1788.5860000000002</v>
      </c>
      <c r="I40" s="51">
        <f>+I38+I39</f>
        <v>0</v>
      </c>
      <c r="J40" s="51">
        <f t="shared" ref="J40:K40" si="6">+J38+J39</f>
        <v>0</v>
      </c>
      <c r="K40" s="51">
        <f t="shared" si="6"/>
        <v>0</v>
      </c>
    </row>
    <row r="41" spans="1:11" x14ac:dyDescent="0.15">
      <c r="A41" s="1" t="s">
        <v>56</v>
      </c>
      <c r="B41" s="51">
        <f>B43-B44</f>
        <v>146.32600000000002</v>
      </c>
      <c r="C41" s="52">
        <f t="shared" ref="C41:I41" si="7">C43-C44</f>
        <v>299.90300000000002</v>
      </c>
      <c r="D41" s="85">
        <f t="shared" si="7"/>
        <v>352</v>
      </c>
      <c r="E41" s="85">
        <f t="shared" si="7"/>
        <v>355.20000000000005</v>
      </c>
      <c r="F41" s="89">
        <f t="shared" si="7"/>
        <v>358.20000000000005</v>
      </c>
      <c r="G41" s="53">
        <f t="shared" si="7"/>
        <v>272.42200000000025</v>
      </c>
      <c r="H41" s="51">
        <f t="shared" si="7"/>
        <v>392.09799999999996</v>
      </c>
      <c r="I41" s="51">
        <f t="shared" si="7"/>
        <v>0</v>
      </c>
      <c r="J41" s="51">
        <f t="shared" ref="J41:K41" si="8">J43-J44</f>
        <v>0</v>
      </c>
      <c r="K41" s="51">
        <f t="shared" si="8"/>
        <v>0</v>
      </c>
    </row>
    <row r="42" spans="1:11" s="18" customFormat="1" x14ac:dyDescent="0.15">
      <c r="A42" s="18" t="s">
        <v>95</v>
      </c>
      <c r="B42" s="51">
        <f>B14</f>
        <v>-83.337000000000003</v>
      </c>
      <c r="C42" s="52">
        <f>C14</f>
        <v>-201.25700000000001</v>
      </c>
      <c r="D42" s="85">
        <f>E42+D14</f>
        <v>-334.13000000000005</v>
      </c>
      <c r="E42" s="85">
        <f>F42+E14</f>
        <v>-354.33000000000004</v>
      </c>
      <c r="F42" s="89">
        <f>G42+F14</f>
        <v>-357.98</v>
      </c>
      <c r="G42" s="74">
        <f>G14</f>
        <v>-271.08</v>
      </c>
      <c r="H42" s="51">
        <f>H14</f>
        <v>-88.575999999999993</v>
      </c>
      <c r="I42" s="51"/>
      <c r="J42" s="51"/>
      <c r="K42" s="51"/>
    </row>
    <row r="43" spans="1:11" s="18" customFormat="1" hidden="1" outlineLevel="1" x14ac:dyDescent="0.15">
      <c r="A43" s="28" t="s">
        <v>96</v>
      </c>
      <c r="B43" s="51">
        <v>2216.337</v>
      </c>
      <c r="C43" s="52">
        <v>2229.4470000000001</v>
      </c>
      <c r="D43" s="85">
        <f>493+909+453</f>
        <v>1855</v>
      </c>
      <c r="E43" s="85">
        <f>513+946+460</f>
        <v>1919</v>
      </c>
      <c r="F43" s="89">
        <f>541+999+470</f>
        <v>2010</v>
      </c>
      <c r="G43" s="53">
        <v>2287.4070000000002</v>
      </c>
      <c r="H43" s="51">
        <v>2209.3519999999999</v>
      </c>
      <c r="I43" s="51"/>
      <c r="J43" s="51"/>
      <c r="K43" s="51"/>
    </row>
    <row r="44" spans="1:11" s="18" customFormat="1" hidden="1" outlineLevel="1" x14ac:dyDescent="0.15">
      <c r="A44" s="28" t="s">
        <v>97</v>
      </c>
      <c r="B44" s="51">
        <v>2070.011</v>
      </c>
      <c r="C44" s="52">
        <v>1929.5440000000001</v>
      </c>
      <c r="D44" s="85">
        <f>1435+68</f>
        <v>1503</v>
      </c>
      <c r="E44" s="85">
        <f>1493+70.8</f>
        <v>1563.8</v>
      </c>
      <c r="F44" s="89">
        <f>1577+74.8</f>
        <v>1651.8</v>
      </c>
      <c r="G44" s="53">
        <v>2014.9849999999999</v>
      </c>
      <c r="H44" s="51">
        <v>1817.2539999999999</v>
      </c>
      <c r="I44" s="51"/>
      <c r="J44" s="51"/>
      <c r="K44" s="51"/>
    </row>
    <row r="45" spans="1:11" s="18" customFormat="1" hidden="1" outlineLevel="1" x14ac:dyDescent="0.15">
      <c r="A45" s="28" t="s">
        <v>108</v>
      </c>
      <c r="B45" s="51"/>
      <c r="C45" s="52"/>
      <c r="D45" s="85">
        <v>21.9</v>
      </c>
      <c r="E45" s="85">
        <v>21.9</v>
      </c>
      <c r="F45" s="89">
        <v>21.9</v>
      </c>
      <c r="G45" s="53"/>
      <c r="H45" s="51"/>
      <c r="I45" s="51"/>
      <c r="J45" s="51"/>
      <c r="K45" s="51"/>
    </row>
    <row r="46" spans="1:11" s="18" customFormat="1" hidden="1" outlineLevel="1" x14ac:dyDescent="0.15">
      <c r="A46" s="28" t="s">
        <v>109</v>
      </c>
      <c r="B46" s="51">
        <v>92.643000000000001</v>
      </c>
      <c r="C46" s="52">
        <v>98.709000000000003</v>
      </c>
      <c r="D46" s="85">
        <v>41.5</v>
      </c>
      <c r="E46" s="85">
        <v>41.5</v>
      </c>
      <c r="F46" s="89">
        <v>41.5</v>
      </c>
      <c r="G46" s="53">
        <v>97.082999999999998</v>
      </c>
      <c r="H46" s="51">
        <v>348.767</v>
      </c>
      <c r="I46" s="51"/>
      <c r="J46" s="51"/>
      <c r="K46" s="51"/>
    </row>
    <row r="47" spans="1:11" s="18" customFormat="1" hidden="1" outlineLevel="1" x14ac:dyDescent="0.15">
      <c r="A47" s="28" t="s">
        <v>122</v>
      </c>
      <c r="B47" s="51">
        <v>542.75699999999995</v>
      </c>
      <c r="C47" s="52">
        <v>762.07600000000002</v>
      </c>
      <c r="D47" s="85">
        <v>493</v>
      </c>
      <c r="E47" s="85">
        <v>513</v>
      </c>
      <c r="F47" s="89">
        <v>541</v>
      </c>
      <c r="G47" s="53">
        <v>670.81799999999998</v>
      </c>
      <c r="H47" s="51">
        <v>820.21500000000003</v>
      </c>
      <c r="I47" s="51"/>
      <c r="J47" s="51"/>
      <c r="K47" s="51"/>
    </row>
    <row r="48" spans="1:11" s="18" customFormat="1" hidden="1" outlineLevel="1" x14ac:dyDescent="0.15">
      <c r="A48" s="28" t="s">
        <v>136</v>
      </c>
      <c r="B48" s="51">
        <v>1580.768</v>
      </c>
      <c r="C48" s="52">
        <v>1486.9469999999999</v>
      </c>
      <c r="D48" s="85">
        <v>1435</v>
      </c>
      <c r="E48" s="85">
        <v>1493</v>
      </c>
      <c r="F48" s="89">
        <v>1577</v>
      </c>
      <c r="G48" s="53">
        <v>1605.867</v>
      </c>
      <c r="H48" s="51">
        <v>1394.3420000000001</v>
      </c>
      <c r="I48" s="51"/>
      <c r="J48" s="51"/>
      <c r="K48" s="51"/>
    </row>
    <row r="49" spans="1:11" s="18" customFormat="1" hidden="1" outlineLevel="1" x14ac:dyDescent="0.15">
      <c r="A49" s="28" t="s">
        <v>123</v>
      </c>
      <c r="B49" s="51">
        <v>1001.595</v>
      </c>
      <c r="C49" s="52">
        <v>980.55200000000002</v>
      </c>
      <c r="D49" s="85">
        <v>909</v>
      </c>
      <c r="E49" s="85">
        <v>946</v>
      </c>
      <c r="F49" s="89">
        <v>999</v>
      </c>
      <c r="G49" s="53">
        <v>926.06299999999999</v>
      </c>
      <c r="H49" s="51">
        <v>920.98099999999999</v>
      </c>
      <c r="I49" s="51"/>
      <c r="J49" s="51"/>
      <c r="K49" s="51"/>
    </row>
    <row r="50" spans="1:11" collapsed="1" x14ac:dyDescent="0.15">
      <c r="A50" s="15" t="s">
        <v>55</v>
      </c>
      <c r="B50" s="16"/>
      <c r="C50" s="16"/>
      <c r="D50" s="119"/>
      <c r="E50" s="119"/>
      <c r="F50" s="119"/>
      <c r="G50" s="34"/>
      <c r="H50" s="16"/>
      <c r="I50" s="16"/>
      <c r="J50" s="16"/>
      <c r="K50" s="16"/>
    </row>
    <row r="51" spans="1:11" s="18" customFormat="1" x14ac:dyDescent="0.15">
      <c r="A51" s="18" t="s">
        <v>98</v>
      </c>
      <c r="B51" s="54">
        <f>(B12-B30)/B10</f>
        <v>-1.6975178481479267E-2</v>
      </c>
      <c r="C51" s="55">
        <f t="shared" ref="C51:F51" si="9">(C12-C30)/C10</f>
        <v>-5.7979910068602855E-2</v>
      </c>
      <c r="D51" s="90">
        <f t="shared" si="9"/>
        <v>7.3995771670190271E-3</v>
      </c>
      <c r="E51" s="90">
        <f t="shared" si="9"/>
        <v>4.6024285154719936E-3</v>
      </c>
      <c r="F51" s="105">
        <f t="shared" si="9"/>
        <v>-6.2517238209064997E-3</v>
      </c>
      <c r="G51" s="56">
        <f>(G12-G30)/G10</f>
        <v>-3.0513365848724001E-2</v>
      </c>
      <c r="H51" s="54">
        <f>(H12-H30)/H10</f>
        <v>1.2227853920798563E-3</v>
      </c>
      <c r="I51" s="54" t="e">
        <f>(I12-I30)/I10</f>
        <v>#DIV/0!</v>
      </c>
      <c r="J51" s="54" t="e">
        <f t="shared" ref="J51:K51" si="10">(J12-J30)/J10</f>
        <v>#DIV/0!</v>
      </c>
      <c r="K51" s="54" t="e">
        <f t="shared" si="10"/>
        <v>#DIV/0!</v>
      </c>
    </row>
    <row r="52" spans="1:11" s="18" customFormat="1" ht="11.25" customHeight="1" outlineLevel="1" x14ac:dyDescent="0.15">
      <c r="A52" s="17" t="s">
        <v>105</v>
      </c>
      <c r="B52" s="57">
        <f>(B12-B30)/AVERAGE(B10:C10)</f>
        <v>-1.7117439193652401E-2</v>
      </c>
      <c r="C52" s="58">
        <f>(C12-C30)/AVERAGE(C10:G10)</f>
        <v>-3.3424896663822833E-2</v>
      </c>
      <c r="D52" s="91">
        <f t="shared" ref="D52:F52" si="11">(D12-D30)/AVERAGE(D10:E10)</f>
        <v>7.1167141114274095E-3</v>
      </c>
      <c r="E52" s="91">
        <f t="shared" si="11"/>
        <v>4.4573000142254255E-3</v>
      </c>
      <c r="F52" s="106">
        <f t="shared" si="11"/>
        <v>-6.1519076070327885E-3</v>
      </c>
      <c r="G52" s="59">
        <f t="shared" ref="G52:J52" si="12">(G12-G30)/AVERAGE(G10:H10)</f>
        <v>-2.9643223582048402E-2</v>
      </c>
      <c r="H52" s="57">
        <f t="shared" si="12"/>
        <v>1.2227853920798563E-3</v>
      </c>
      <c r="I52" s="57" t="e">
        <f t="shared" si="12"/>
        <v>#DIV/0!</v>
      </c>
      <c r="J52" s="57" t="e">
        <f t="shared" si="12"/>
        <v>#DIV/0!</v>
      </c>
      <c r="K52" s="57"/>
    </row>
    <row r="53" spans="1:11" s="18" customFormat="1" ht="11.25" customHeight="1" outlineLevel="1" x14ac:dyDescent="0.15">
      <c r="A53" s="17" t="s">
        <v>101</v>
      </c>
      <c r="B53" s="48">
        <f>(B12-B30)/(AVERAGE(B13:C13))*-1</f>
        <v>-5.8206533519120605</v>
      </c>
      <c r="C53" s="49">
        <f>(C12-C30)/(AVERAGE(C13:G13))*-1</f>
        <v>-13.181541082448831</v>
      </c>
      <c r="D53" s="88">
        <f t="shared" ref="D53:F53" si="13">(D12-D30)/(AVERAGE(D13:E13))*-1</f>
        <v>2.5</v>
      </c>
      <c r="E53" s="88">
        <f t="shared" si="13"/>
        <v>1.5986394557823129</v>
      </c>
      <c r="F53" s="104">
        <f t="shared" si="13"/>
        <v>-2.2576736001593654</v>
      </c>
      <c r="G53" s="50">
        <f>(G12-G30)/(AVERAGE(G13:H13))*-1</f>
        <v>-8.4272346076755635</v>
      </c>
      <c r="H53" s="48">
        <f>(H12-H30)/(AVERAGE(H13:I13))*-1</f>
        <v>0.56040397810500486</v>
      </c>
      <c r="I53" s="48" t="e">
        <f t="shared" ref="I53:J53" si="14">(I12-I30)/(AVERAGE(I13:J13))*-1</f>
        <v>#DIV/0!</v>
      </c>
      <c r="J53" s="48" t="e">
        <f t="shared" si="14"/>
        <v>#DIV/0!</v>
      </c>
      <c r="K53" s="48"/>
    </row>
    <row r="54" spans="1:11" x14ac:dyDescent="0.15">
      <c r="A54" s="1" t="s">
        <v>104</v>
      </c>
      <c r="B54" s="54">
        <f>B12/B10</f>
        <v>7.1286032904274732E-4</v>
      </c>
      <c r="C54" s="55">
        <f>C12/C10</f>
        <v>2.5378263401690006E-3</v>
      </c>
      <c r="D54" s="90">
        <f t="shared" ref="D54:F54" si="15">D12/D10</f>
        <v>2.4312896405919663E-2</v>
      </c>
      <c r="E54" s="90">
        <f t="shared" si="15"/>
        <v>2.1053662358010185E-2</v>
      </c>
      <c r="F54" s="105">
        <f t="shared" si="15"/>
        <v>1.0205019766479728E-2</v>
      </c>
      <c r="G54" s="56">
        <f>G12/G10</f>
        <v>7.3978865827174526E-3</v>
      </c>
      <c r="H54" s="54">
        <f>H12/H10</f>
        <v>2.176117263588306E-2</v>
      </c>
      <c r="I54" s="54" t="e">
        <f>I12/I10</f>
        <v>#DIV/0!</v>
      </c>
      <c r="J54" s="54" t="e">
        <f t="shared" ref="J54:K54" si="16">J12/J10</f>
        <v>#DIV/0!</v>
      </c>
      <c r="K54" s="54" t="e">
        <f t="shared" si="16"/>
        <v>#DIV/0!</v>
      </c>
    </row>
    <row r="55" spans="1:11" x14ac:dyDescent="0.15">
      <c r="A55" s="1" t="s">
        <v>54</v>
      </c>
      <c r="B55" s="51">
        <f>B12/B13*-1</f>
        <v>0.13711050126793364</v>
      </c>
      <c r="C55" s="52">
        <f t="shared" ref="C55:I55" si="17">C12/C13*-1</f>
        <v>3.9389965792474273</v>
      </c>
      <c r="D55" s="85">
        <f t="shared" ref="D55:F55" si="18">D12/D13*-1</f>
        <v>8.2142857142857135</v>
      </c>
      <c r="E55" s="85">
        <f t="shared" si="18"/>
        <v>7.6785714285714288</v>
      </c>
      <c r="F55" s="89">
        <f t="shared" si="18"/>
        <v>3.6038961038961039</v>
      </c>
      <c r="G55" s="53">
        <f t="shared" si="17"/>
        <v>2.8220387920785366</v>
      </c>
      <c r="H55" s="51">
        <f t="shared" si="17"/>
        <v>4.9865854598720221</v>
      </c>
      <c r="I55" s="51" t="e">
        <f t="shared" si="17"/>
        <v>#DIV/0!</v>
      </c>
      <c r="J55" s="51" t="e">
        <f t="shared" ref="J55:K55" si="19">J12/J13*-1</f>
        <v>#DIV/0!</v>
      </c>
      <c r="K55" s="51" t="e">
        <f t="shared" si="19"/>
        <v>#DIV/0!</v>
      </c>
    </row>
    <row r="56" spans="1:11" x14ac:dyDescent="0.15">
      <c r="A56" s="1" t="s">
        <v>53</v>
      </c>
      <c r="B56" s="51">
        <f>B37/B12</f>
        <v>139.3577400557383</v>
      </c>
      <c r="C56" s="52">
        <f>C37/C12</f>
        <v>38.68888406426413</v>
      </c>
      <c r="D56" s="85">
        <f t="shared" ref="D56:F56" si="20">D37/D12</f>
        <v>1.5652173913043479</v>
      </c>
      <c r="E56" s="85">
        <f t="shared" si="20"/>
        <v>2.2604651162790699</v>
      </c>
      <c r="F56" s="89">
        <f t="shared" si="20"/>
        <v>4.8288288288288292</v>
      </c>
      <c r="G56" s="53">
        <f>G37/G12</f>
        <v>6.8219023086737751</v>
      </c>
      <c r="H56" s="51">
        <f>H37/H12</f>
        <v>2.2877197322243004</v>
      </c>
      <c r="I56" s="51" t="e">
        <f>I37/I12</f>
        <v>#DIV/0!</v>
      </c>
      <c r="J56" s="51" t="e">
        <f t="shared" ref="J56:K56" si="21">J37/J12</f>
        <v>#DIV/0!</v>
      </c>
      <c r="K56" s="51" t="e">
        <f t="shared" si="21"/>
        <v>#DIV/0!</v>
      </c>
    </row>
    <row r="57" spans="1:11" ht="11.25" customHeight="1" x14ac:dyDescent="0.15">
      <c r="A57" s="17" t="s">
        <v>52</v>
      </c>
      <c r="B57" s="48">
        <f>(B37-B32)/B12</f>
        <v>25.150240689130939</v>
      </c>
      <c r="C57" s="49">
        <f>(C37-C32)/C12</f>
        <v>15.367925893761811</v>
      </c>
      <c r="D57" s="88">
        <f t="shared" ref="D57:F57" si="22">(D37-D32)/D12</f>
        <v>-0.2608695652173913</v>
      </c>
      <c r="E57" s="88">
        <f t="shared" si="22"/>
        <v>-6.9767441860465115E-2</v>
      </c>
      <c r="F57" s="104">
        <f t="shared" si="22"/>
        <v>0.25225225225225223</v>
      </c>
      <c r="G57" s="50">
        <f>(G37-G32)/G12</f>
        <v>0.72128602036640255</v>
      </c>
      <c r="H57" s="48">
        <f>(H37-H32)/H12</f>
        <v>1.1167808166231197</v>
      </c>
      <c r="I57" s="48" t="e">
        <f>(I37-I32)/I12</f>
        <v>#DIV/0!</v>
      </c>
      <c r="J57" s="48" t="e">
        <f t="shared" ref="J57:K57" si="23">(J37-J32)/J12</f>
        <v>#DIV/0!</v>
      </c>
      <c r="K57" s="48" t="e">
        <f t="shared" si="23"/>
        <v>#DIV/0!</v>
      </c>
    </row>
    <row r="58" spans="1:11" x14ac:dyDescent="0.15">
      <c r="A58" s="1" t="s">
        <v>51</v>
      </c>
      <c r="B58" s="51">
        <f>B38/B12</f>
        <v>146.74841651887488</v>
      </c>
      <c r="C58" s="52">
        <f>C38/C12</f>
        <v>41.071428571428704</v>
      </c>
      <c r="D58" s="85">
        <f t="shared" ref="D58:F58" si="24">D38/D12</f>
        <v>1.5652173913043479</v>
      </c>
      <c r="E58" s="85">
        <f t="shared" si="24"/>
        <v>2.2604651162790699</v>
      </c>
      <c r="F58" s="89">
        <f t="shared" si="24"/>
        <v>4.8288288288288292</v>
      </c>
      <c r="G58" s="53">
        <f>G38/G12</f>
        <v>6.8219023086737751</v>
      </c>
      <c r="H58" s="51">
        <f>H38/H12</f>
        <v>2.2877197322243004</v>
      </c>
      <c r="I58" s="51" t="e">
        <f>I38/I12</f>
        <v>#DIV/0!</v>
      </c>
      <c r="J58" s="51" t="e">
        <f t="shared" ref="J58:K58" si="25">J38/J12</f>
        <v>#DIV/0!</v>
      </c>
      <c r="K58" s="51" t="e">
        <f t="shared" si="25"/>
        <v>#DIV/0!</v>
      </c>
    </row>
    <row r="59" spans="1:11" ht="11.25" customHeight="1" x14ac:dyDescent="0.15">
      <c r="A59" s="17" t="s">
        <v>50</v>
      </c>
      <c r="B59" s="48">
        <f>(B38-B32)/B12</f>
        <v>32.540917152267497</v>
      </c>
      <c r="C59" s="49">
        <f>(C38-C32)/C12</f>
        <v>17.750470400926389</v>
      </c>
      <c r="D59" s="88">
        <f t="shared" ref="D59:F59" si="26">(D38-D32)/D12</f>
        <v>-0.2608695652173913</v>
      </c>
      <c r="E59" s="88">
        <f t="shared" si="26"/>
        <v>-6.9767441860465115E-2</v>
      </c>
      <c r="F59" s="104">
        <f t="shared" si="26"/>
        <v>0.25225225225225223</v>
      </c>
      <c r="G59" s="50">
        <f>(G38-G32)/G12</f>
        <v>0.72128602036640255</v>
      </c>
      <c r="H59" s="48">
        <f>(H38-H32)/H12</f>
        <v>1.1167808166231197</v>
      </c>
      <c r="I59" s="48" t="e">
        <f>(I38-I32)/I12</f>
        <v>#DIV/0!</v>
      </c>
      <c r="J59" s="48" t="e">
        <f t="shared" ref="J59:K59" si="27">(J38-J32)/J12</f>
        <v>#DIV/0!</v>
      </c>
      <c r="K59" s="48" t="e">
        <f t="shared" si="27"/>
        <v>#DIV/0!</v>
      </c>
    </row>
    <row r="60" spans="1:11" s="18" customFormat="1" ht="11.25" hidden="1" customHeight="1" outlineLevel="1" x14ac:dyDescent="0.15">
      <c r="A60" s="17" t="s">
        <v>124</v>
      </c>
      <c r="B60" s="48">
        <f>(B32+B47+B49)/(B35+B48)</f>
        <v>1.1311800535107119</v>
      </c>
      <c r="C60" s="49">
        <f t="shared" ref="C60:K60" si="28">(C32+C47+C49)/(C35+C48)</f>
        <v>1.2775617102156578</v>
      </c>
      <c r="D60" s="88">
        <f t="shared" ref="D60:F60" si="29">(D32+D47+D49)/(D35+D48)</f>
        <v>1.2696864111498258</v>
      </c>
      <c r="E60" s="88">
        <f t="shared" si="29"/>
        <v>1.3127930341594105</v>
      </c>
      <c r="F60" s="104">
        <f t="shared" si="29"/>
        <v>1.2986683576410907</v>
      </c>
      <c r="G60" s="50">
        <f t="shared" si="28"/>
        <v>1.1773362651433792</v>
      </c>
      <c r="H60" s="48">
        <f t="shared" si="28"/>
        <v>1.3092262474709206</v>
      </c>
      <c r="I60" s="48" t="e">
        <f t="shared" si="28"/>
        <v>#DIV/0!</v>
      </c>
      <c r="J60" s="48" t="e">
        <f t="shared" si="28"/>
        <v>#DIV/0!</v>
      </c>
      <c r="K60" s="48" t="e">
        <f t="shared" si="28"/>
        <v>#DIV/0!</v>
      </c>
    </row>
    <row r="61" spans="1:11" s="18" customFormat="1" ht="11.25" hidden="1" customHeight="1" outlineLevel="1" x14ac:dyDescent="0.15">
      <c r="A61" s="17" t="s">
        <v>137</v>
      </c>
      <c r="B61" s="48">
        <f>(B32+B47+B49)/(B38+B48)</f>
        <v>0.92367767539018808</v>
      </c>
      <c r="C61" s="49">
        <f t="shared" ref="C61:K61" si="30">(C32+C47+C49)/(C38+C48)</f>
        <v>1.0050645616002556</v>
      </c>
      <c r="D61" s="88">
        <f t="shared" ref="D61:F61" si="31">(D32+D47+D49)/(D38+D48)</f>
        <v>1.0150417827298051</v>
      </c>
      <c r="E61" s="88">
        <f t="shared" si="31"/>
        <v>0.99039919151086409</v>
      </c>
      <c r="F61" s="104">
        <f t="shared" si="31"/>
        <v>0.96923805016564124</v>
      </c>
      <c r="G61" s="50">
        <f t="shared" si="30"/>
        <v>0.96828295092968519</v>
      </c>
      <c r="H61" s="48">
        <f>(H32+H47+H49)/(H38+H48)</f>
        <v>1.0291587580491686</v>
      </c>
      <c r="I61" s="48" t="e">
        <f t="shared" si="30"/>
        <v>#DIV/0!</v>
      </c>
      <c r="J61" s="48" t="e">
        <f t="shared" si="30"/>
        <v>#DIV/0!</v>
      </c>
      <c r="K61" s="48" t="e">
        <f t="shared" si="30"/>
        <v>#DIV/0!</v>
      </c>
    </row>
    <row r="62" spans="1:11" s="18" customFormat="1" ht="11.25" hidden="1" customHeight="1" outlineLevel="1" x14ac:dyDescent="0.15">
      <c r="A62" s="17" t="s">
        <v>126</v>
      </c>
      <c r="B62" s="48">
        <f>((B32+B47+B49)*0.75)/(B35+B48)</f>
        <v>0.84838504013303395</v>
      </c>
      <c r="C62" s="49">
        <f t="shared" ref="C62:K62" si="32">((C32+C47+C49)*0.75)/(C35+C48)</f>
        <v>0.95817128266174334</v>
      </c>
      <c r="D62" s="88">
        <f t="shared" ref="D62:F62" si="33">((D32+D47+D49)*0.75)/(D35+D48)</f>
        <v>0.95226480836236937</v>
      </c>
      <c r="E62" s="88">
        <f t="shared" si="33"/>
        <v>0.98459477561955788</v>
      </c>
      <c r="F62" s="104">
        <f t="shared" si="33"/>
        <v>0.97400126823081801</v>
      </c>
      <c r="G62" s="50">
        <f t="shared" si="32"/>
        <v>0.88300219885753428</v>
      </c>
      <c r="H62" s="48">
        <f t="shared" si="32"/>
        <v>0.98191968560319054</v>
      </c>
      <c r="I62" s="48" t="e">
        <f t="shared" si="32"/>
        <v>#DIV/0!</v>
      </c>
      <c r="J62" s="48" t="e">
        <f t="shared" si="32"/>
        <v>#DIV/0!</v>
      </c>
      <c r="K62" s="48" t="e">
        <f t="shared" si="32"/>
        <v>#DIV/0!</v>
      </c>
    </row>
    <row r="63" spans="1:11" s="18" customFormat="1" ht="11.25" hidden="1" customHeight="1" outlineLevel="1" x14ac:dyDescent="0.15">
      <c r="A63" s="17" t="s">
        <v>138</v>
      </c>
      <c r="B63" s="48">
        <f>((B32+B47+B49)*0.75)/(B36+B48)</f>
        <v>0.7682153451393402</v>
      </c>
      <c r="C63" s="49">
        <f t="shared" ref="C63:K63" si="34">((C32+C47+C49)*0.75)/(C36+C48)</f>
        <v>0.81842867659532414</v>
      </c>
      <c r="D63" s="88">
        <f t="shared" ref="D63:F63" si="35">((D32+D47+D49)*0.75)/(D36+D48)</f>
        <v>0.95226480836236937</v>
      </c>
      <c r="E63" s="88">
        <f t="shared" si="35"/>
        <v>0.98459477561955788</v>
      </c>
      <c r="F63" s="104">
        <f t="shared" si="35"/>
        <v>0.97400126823081801</v>
      </c>
      <c r="G63" s="50">
        <f t="shared" si="34"/>
        <v>0.79219911962310585</v>
      </c>
      <c r="H63" s="48">
        <f t="shared" si="34"/>
        <v>0.84272300469483563</v>
      </c>
      <c r="I63" s="48" t="e">
        <f t="shared" si="34"/>
        <v>#DIV/0!</v>
      </c>
      <c r="J63" s="48" t="e">
        <f t="shared" si="34"/>
        <v>#DIV/0!</v>
      </c>
      <c r="K63" s="48" t="e">
        <f t="shared" si="34"/>
        <v>#DIV/0!</v>
      </c>
    </row>
    <row r="64" spans="1:11" collapsed="1" x14ac:dyDescent="0.15">
      <c r="A64" s="1" t="s">
        <v>49</v>
      </c>
      <c r="B64" s="60">
        <f>B17/B38</f>
        <v>-0.11221547747299798</v>
      </c>
      <c r="C64" s="61">
        <f>C17/C38</f>
        <v>-5.7373683978679382E-2</v>
      </c>
      <c r="D64" s="92">
        <f t="shared" ref="D64:F64" si="36">D17/D38</f>
        <v>0.50019444444444439</v>
      </c>
      <c r="E64" s="92">
        <f t="shared" si="36"/>
        <v>0.37030864197530866</v>
      </c>
      <c r="F64" s="107">
        <f t="shared" si="36"/>
        <v>0.16026119402985073</v>
      </c>
      <c r="G64" s="62">
        <f>G17/G38</f>
        <v>-6.2655491839435362E-2</v>
      </c>
      <c r="H64" s="60">
        <f>H17/H38</f>
        <v>1.8859987024572235E-2</v>
      </c>
      <c r="I64" s="60" t="e">
        <f>I17/I38</f>
        <v>#DIV/0!</v>
      </c>
      <c r="J64" s="60" t="e">
        <f t="shared" ref="J64:K64" si="37">J17/J38</f>
        <v>#DIV/0!</v>
      </c>
      <c r="K64" s="60" t="e">
        <f t="shared" si="37"/>
        <v>#DIV/0!</v>
      </c>
    </row>
    <row r="65" spans="1:11" s="18" customFormat="1" ht="11.25" customHeight="1" outlineLevel="1" x14ac:dyDescent="0.15">
      <c r="A65" s="17" t="s">
        <v>102</v>
      </c>
      <c r="B65" s="57">
        <f>B17/AVERAGE(B38:C38)</f>
        <v>-0.11335951186885269</v>
      </c>
      <c r="C65" s="58">
        <f>C17/AVERAGE(C38:G38)</f>
        <v>-6.4700797806281157E-2</v>
      </c>
      <c r="D65" s="91">
        <f t="shared" ref="D65:F65" si="38">D17/AVERAGE(D38:E38)</f>
        <v>0.42569739952718677</v>
      </c>
      <c r="E65" s="91">
        <f t="shared" si="38"/>
        <v>0.35219178082191782</v>
      </c>
      <c r="F65" s="106">
        <f t="shared" si="38"/>
        <v>0.15579233733847198</v>
      </c>
      <c r="G65" s="59">
        <f t="shared" ref="G65:J65" si="39">G17/AVERAGE(G38:H38)</f>
        <v>-6.1296108016481408E-2</v>
      </c>
      <c r="H65" s="57">
        <f t="shared" si="39"/>
        <v>1.8859987024572235E-2</v>
      </c>
      <c r="I65" s="57" t="e">
        <f t="shared" si="39"/>
        <v>#DIV/0!</v>
      </c>
      <c r="J65" s="57" t="e">
        <f t="shared" si="39"/>
        <v>#DIV/0!</v>
      </c>
      <c r="K65" s="57"/>
    </row>
    <row r="66" spans="1:11" x14ac:dyDescent="0.15">
      <c r="A66" s="1" t="s">
        <v>48</v>
      </c>
      <c r="B66" s="60">
        <f>B22/B38</f>
        <v>-4.6074348774895718E-2</v>
      </c>
      <c r="C66" s="61">
        <f>C22/C38</f>
        <v>0.10807101008766132</v>
      </c>
      <c r="D66" s="92">
        <f t="shared" ref="D66:F66" si="40">D22/D38</f>
        <v>0.12277777777777779</v>
      </c>
      <c r="E66" s="92">
        <f t="shared" si="40"/>
        <v>8.6831275720164622E-2</v>
      </c>
      <c r="F66" s="107">
        <f t="shared" si="40"/>
        <v>9.6828358208955224E-3</v>
      </c>
      <c r="G66" s="62">
        <f>G22/G38</f>
        <v>0.37914777238641378</v>
      </c>
      <c r="H66" s="60">
        <f>H22/H38</f>
        <v>0.71490552266645024</v>
      </c>
      <c r="I66" s="60" t="e">
        <f>I22/I38</f>
        <v>#DIV/0!</v>
      </c>
      <c r="J66" s="60" t="e">
        <f t="shared" ref="J66:K66" si="41">J22/J38</f>
        <v>#DIV/0!</v>
      </c>
      <c r="K66" s="60" t="e">
        <f t="shared" si="41"/>
        <v>#DIV/0!</v>
      </c>
    </row>
    <row r="67" spans="1:11" s="18" customFormat="1" ht="11.25" customHeight="1" outlineLevel="1" x14ac:dyDescent="0.15">
      <c r="A67" s="17" t="s">
        <v>100</v>
      </c>
      <c r="B67" s="57">
        <f t="shared" ref="B67" si="42">B22/(AVERAGE(B38:C38))</f>
        <v>-4.654407577648309E-2</v>
      </c>
      <c r="C67" s="58">
        <f>C22/(AVERAGE(C38:G38))</f>
        <v>0.12187260931336996</v>
      </c>
      <c r="D67" s="91">
        <f t="shared" ref="D67:F67" si="43">D22/(AVERAGE(D38:E38))</f>
        <v>0.10449172576832153</v>
      </c>
      <c r="E67" s="91">
        <f t="shared" si="43"/>
        <v>8.2583170254403135E-2</v>
      </c>
      <c r="F67" s="106">
        <f t="shared" si="43"/>
        <v>9.4128315574699625E-3</v>
      </c>
      <c r="G67" s="59">
        <f>G22/(AVERAGE(G38:H38))</f>
        <v>0.37092172015763342</v>
      </c>
      <c r="H67" s="57">
        <f>H22/(AVERAGE(H38:I38))</f>
        <v>0.71490552266645024</v>
      </c>
      <c r="I67" s="57" t="e">
        <f t="shared" ref="I67:J67" si="44">I22/(AVERAGE(I38:J38))</f>
        <v>#DIV/0!</v>
      </c>
      <c r="J67" s="57" t="e">
        <f t="shared" si="44"/>
        <v>#DIV/0!</v>
      </c>
      <c r="K67" s="57"/>
    </row>
    <row r="68" spans="1:11" s="18" customFormat="1" x14ac:dyDescent="0.15">
      <c r="A68" s="18" t="s">
        <v>94</v>
      </c>
      <c r="B68" s="60">
        <f>-B26/B22</f>
        <v>0</v>
      </c>
      <c r="C68" s="61">
        <f t="shared" ref="C68:I68" si="45">-C26/C22</f>
        <v>0</v>
      </c>
      <c r="D68" s="92">
        <f t="shared" ref="D68:F68" si="46">-D26/D22</f>
        <v>0</v>
      </c>
      <c r="E68" s="92">
        <f t="shared" si="46"/>
        <v>0</v>
      </c>
      <c r="F68" s="107">
        <f t="shared" si="46"/>
        <v>0</v>
      </c>
      <c r="G68" s="62">
        <f t="shared" si="45"/>
        <v>0</v>
      </c>
      <c r="H68" s="60">
        <f t="shared" si="45"/>
        <v>0</v>
      </c>
      <c r="I68" s="60" t="e">
        <f t="shared" si="45"/>
        <v>#DIV/0!</v>
      </c>
      <c r="J68" s="60" t="e">
        <f t="shared" ref="J68:K68" si="47">-J26/J22</f>
        <v>#DIV/0!</v>
      </c>
      <c r="K68" s="60" t="e">
        <f t="shared" si="47"/>
        <v>#DIV/0!</v>
      </c>
    </row>
    <row r="69" spans="1:11" x14ac:dyDescent="0.15">
      <c r="A69" s="1" t="s">
        <v>47</v>
      </c>
      <c r="B69" s="60">
        <f>B38/B40</f>
        <v>0.4085194260009225</v>
      </c>
      <c r="C69" s="61">
        <f>C38/C40</f>
        <v>0.3642643820326405</v>
      </c>
      <c r="D69" s="92">
        <f t="shared" ref="D69:F69" si="48">D38/D40</f>
        <v>0.27169811320754716</v>
      </c>
      <c r="E69" s="92">
        <f t="shared" si="48"/>
        <v>0.35422740524781343</v>
      </c>
      <c r="F69" s="107">
        <f t="shared" si="48"/>
        <v>0.37144837144837145</v>
      </c>
      <c r="G69" s="62">
        <f>G38/G40</f>
        <v>0.38089266320418941</v>
      </c>
      <c r="H69" s="60">
        <f>H38/H40</f>
        <v>0.33092509949200094</v>
      </c>
      <c r="I69" s="60" t="e">
        <f>I38/I40</f>
        <v>#DIV/0!</v>
      </c>
      <c r="J69" s="60" t="e">
        <f t="shared" ref="J69:K69" si="49">J38/J40</f>
        <v>#DIV/0!</v>
      </c>
      <c r="K69" s="60" t="e">
        <f t="shared" si="49"/>
        <v>#DIV/0!</v>
      </c>
    </row>
    <row r="70" spans="1:11" x14ac:dyDescent="0.15">
      <c r="A70" s="15" t="s">
        <v>46</v>
      </c>
      <c r="B70" s="16"/>
      <c r="C70" s="16"/>
      <c r="D70" s="119"/>
      <c r="E70" s="119"/>
      <c r="F70" s="119"/>
      <c r="G70" s="83"/>
      <c r="H70" s="16"/>
      <c r="I70" s="16"/>
      <c r="J70" s="16"/>
      <c r="K70" s="16"/>
    </row>
    <row r="71" spans="1:11" x14ac:dyDescent="0.15">
      <c r="A71" s="1" t="s">
        <v>45</v>
      </c>
      <c r="B71" s="60">
        <f>B43/B34</f>
        <v>0.5964144687094165</v>
      </c>
      <c r="C71" s="61">
        <f t="shared" ref="C71:I71" si="50">C43/C34</f>
        <v>0.58571196630506406</v>
      </c>
      <c r="D71" s="95" t="s">
        <v>77</v>
      </c>
      <c r="E71" s="96" t="s">
        <v>77</v>
      </c>
      <c r="F71" s="97" t="s">
        <v>77</v>
      </c>
      <c r="G71" s="62">
        <f t="shared" si="50"/>
        <v>0.59981340128086025</v>
      </c>
      <c r="H71" s="60">
        <f t="shared" si="50"/>
        <v>0.56076033992551122</v>
      </c>
      <c r="I71" s="60" t="e">
        <f t="shared" si="50"/>
        <v>#DIV/0!</v>
      </c>
      <c r="J71" s="60" t="e">
        <f t="shared" ref="J71:K71" si="51">J43/J34</f>
        <v>#DIV/0!</v>
      </c>
      <c r="K71" s="60" t="e">
        <f t="shared" si="51"/>
        <v>#DIV/0!</v>
      </c>
    </row>
    <row r="72" spans="1:11" x14ac:dyDescent="0.15">
      <c r="A72" s="1" t="s">
        <v>44</v>
      </c>
      <c r="B72" s="51">
        <f>B43/B44</f>
        <v>1.0706885132494466</v>
      </c>
      <c r="C72" s="52">
        <f t="shared" ref="C72:I72" si="52">C43/C44</f>
        <v>1.1554268780603085</v>
      </c>
      <c r="D72" s="85">
        <f t="shared" si="52"/>
        <v>1.2341982701264138</v>
      </c>
      <c r="E72" s="98">
        <f t="shared" si="52"/>
        <v>1.2271390203350812</v>
      </c>
      <c r="F72" s="99">
        <f t="shared" si="52"/>
        <v>1.2168543407192154</v>
      </c>
      <c r="G72" s="53">
        <f t="shared" si="52"/>
        <v>1.135198028769445</v>
      </c>
      <c r="H72" s="51">
        <f t="shared" si="52"/>
        <v>1.2157640043714306</v>
      </c>
      <c r="I72" s="51" t="e">
        <f t="shared" si="52"/>
        <v>#DIV/0!</v>
      </c>
      <c r="J72" s="51" t="e">
        <f t="shared" ref="J72:K72" si="53">J43/J44</f>
        <v>#DIV/0!</v>
      </c>
      <c r="K72" s="51" t="e">
        <f t="shared" si="53"/>
        <v>#DIV/0!</v>
      </c>
    </row>
    <row r="73" spans="1:11" x14ac:dyDescent="0.15">
      <c r="A73" s="15" t="s">
        <v>43</v>
      </c>
      <c r="B73" s="15"/>
      <c r="C73" s="15"/>
      <c r="D73" s="119"/>
      <c r="E73" s="119"/>
      <c r="F73" s="119"/>
      <c r="G73" s="84"/>
      <c r="H73" s="15"/>
      <c r="I73" s="15"/>
      <c r="J73" s="15"/>
      <c r="K73" s="15"/>
    </row>
    <row r="74" spans="1:11" x14ac:dyDescent="0.15">
      <c r="A74" s="1" t="s">
        <v>42</v>
      </c>
      <c r="B74" s="60">
        <f>B10/C10-1</f>
        <v>1.6902680108440871E-2</v>
      </c>
      <c r="C74" s="61"/>
      <c r="D74" s="92">
        <f t="shared" ref="D74:F74" si="54">D10/E10-1</f>
        <v>-7.3638856247551954E-2</v>
      </c>
      <c r="E74" s="92">
        <f t="shared" si="54"/>
        <v>-6.1138181483865073E-2</v>
      </c>
      <c r="F74" s="107">
        <f t="shared" si="54"/>
        <v>-3.143055489759361E-2</v>
      </c>
      <c r="G74" s="62">
        <f>G10/H10-1</f>
        <v>-5.5452198873116365E-2</v>
      </c>
      <c r="H74" s="60"/>
      <c r="I74" s="60" t="e">
        <f t="shared" ref="I74:J74" si="55">I10/J10-1</f>
        <v>#DIV/0!</v>
      </c>
      <c r="J74" s="60" t="e">
        <f t="shared" si="55"/>
        <v>#DIV/0!</v>
      </c>
      <c r="K74" s="60"/>
    </row>
    <row r="75" spans="1:11" s="18" customFormat="1" x14ac:dyDescent="0.15">
      <c r="A75" s="18" t="s">
        <v>135</v>
      </c>
      <c r="B75" s="60">
        <f>B11/B10</f>
        <v>1.5106245447546122E-2</v>
      </c>
      <c r="C75" s="61">
        <f>C11/C10</f>
        <v>1.8139636281623361E-2</v>
      </c>
      <c r="D75" s="92">
        <f t="shared" ref="D75:F75" si="56">D11/D10</f>
        <v>7.1141649048625799E-2</v>
      </c>
      <c r="E75" s="92">
        <f t="shared" si="56"/>
        <v>6.9526047786917358E-2</v>
      </c>
      <c r="F75" s="107">
        <f t="shared" si="56"/>
        <v>6.3528546474211633E-2</v>
      </c>
      <c r="G75" s="62">
        <f>G11/G10</f>
        <v>1.8060966179410713E-2</v>
      </c>
      <c r="H75" s="60">
        <f>H11/H10</f>
        <v>2.6246148936741088E-2</v>
      </c>
      <c r="I75" s="60" t="e">
        <f t="shared" ref="I75:K75" si="57">I11/I10</f>
        <v>#DIV/0!</v>
      </c>
      <c r="J75" s="60" t="e">
        <f t="shared" si="57"/>
        <v>#DIV/0!</v>
      </c>
      <c r="K75" s="60" t="e">
        <f t="shared" si="57"/>
        <v>#DIV/0!</v>
      </c>
    </row>
    <row r="76" spans="1:11" s="18" customFormat="1" x14ac:dyDescent="0.15">
      <c r="A76" s="18" t="s">
        <v>91</v>
      </c>
      <c r="B76" s="60">
        <f>B14/B10</f>
        <v>-1.5051340572950427E-2</v>
      </c>
      <c r="C76" s="61">
        <f t="shared" ref="C76:I76" si="58">C14/C10</f>
        <v>-3.6963042100404846E-2</v>
      </c>
      <c r="D76" s="92">
        <f t="shared" ref="D76:F76" si="59">D14/D10</f>
        <v>2.1353065539112051E-3</v>
      </c>
      <c r="E76" s="92">
        <f t="shared" si="59"/>
        <v>3.5742264003133569E-4</v>
      </c>
      <c r="F76" s="107">
        <f t="shared" si="59"/>
        <v>-7.9893352946584541E-3</v>
      </c>
      <c r="G76" s="62">
        <f t="shared" si="58"/>
        <v>-2.413899100656066E-2</v>
      </c>
      <c r="H76" s="60">
        <f t="shared" si="58"/>
        <v>-7.4500920958085739E-3</v>
      </c>
      <c r="I76" s="60" t="e">
        <f t="shared" si="58"/>
        <v>#DIV/0!</v>
      </c>
      <c r="J76" s="60" t="e">
        <f t="shared" ref="J76:K76" si="60">J14/J10</f>
        <v>#DIV/0!</v>
      </c>
      <c r="K76" s="60" t="e">
        <f t="shared" si="60"/>
        <v>#DIV/0!</v>
      </c>
    </row>
    <row r="77" spans="1:11" x14ac:dyDescent="0.15">
      <c r="A77" s="1" t="s">
        <v>92</v>
      </c>
      <c r="B77" s="60">
        <f>B10/B34</f>
        <v>1.4899615241992821</v>
      </c>
      <c r="C77" s="61">
        <f t="shared" ref="C77:I77" si="61">C10/C34</f>
        <v>1.4304419307753178</v>
      </c>
      <c r="D77" s="95" t="s">
        <v>77</v>
      </c>
      <c r="E77" s="95" t="s">
        <v>77</v>
      </c>
      <c r="F77" s="108" t="s">
        <v>77</v>
      </c>
      <c r="G77" s="62">
        <f t="shared" si="61"/>
        <v>2.9447679853657935</v>
      </c>
      <c r="H77" s="60">
        <f t="shared" si="61"/>
        <v>3.0176356283195451</v>
      </c>
      <c r="I77" s="60" t="e">
        <f t="shared" si="61"/>
        <v>#DIV/0!</v>
      </c>
      <c r="J77" s="60" t="e">
        <f t="shared" ref="J77:K77" si="62">J10/J34</f>
        <v>#DIV/0!</v>
      </c>
      <c r="K77" s="60" t="e">
        <f t="shared" si="62"/>
        <v>#DIV/0!</v>
      </c>
    </row>
    <row r="78" spans="1:11" x14ac:dyDescent="0.15">
      <c r="A78" s="1" t="s">
        <v>93</v>
      </c>
      <c r="B78" s="51">
        <f>B34/B39</f>
        <v>4.4311790953297416</v>
      </c>
      <c r="C78" s="52">
        <f t="shared" ref="C78:I78" si="63">C34/C39</f>
        <v>3.8429808637849603</v>
      </c>
      <c r="D78" s="95" t="s">
        <v>77</v>
      </c>
      <c r="E78" s="95" t="s">
        <v>77</v>
      </c>
      <c r="F78" s="108" t="s">
        <v>77</v>
      </c>
      <c r="G78" s="53">
        <f t="shared" si="63"/>
        <v>4.1397337391798974</v>
      </c>
      <c r="H78" s="51">
        <f t="shared" si="63"/>
        <v>3.2923277217811009</v>
      </c>
      <c r="I78" s="51" t="e">
        <f t="shared" si="63"/>
        <v>#DIV/0!</v>
      </c>
      <c r="J78" s="51" t="e">
        <f t="shared" ref="J78:K78" si="64">J34/J39</f>
        <v>#DIV/0!</v>
      </c>
      <c r="K78" s="51" t="e">
        <f t="shared" si="64"/>
        <v>#DIV/0!</v>
      </c>
    </row>
    <row r="79" spans="1:11" x14ac:dyDescent="0.15">
      <c r="A79" s="1" t="s">
        <v>41</v>
      </c>
      <c r="B79" s="60">
        <f>B14/B39</f>
        <v>-9.9373260547610032E-2</v>
      </c>
      <c r="C79" s="61">
        <f>C14/C39</f>
        <v>-0.20319179224576417</v>
      </c>
      <c r="D79" s="95">
        <f t="shared" ref="D79:F79" si="65">D14/D39</f>
        <v>2.093264248704663E-2</v>
      </c>
      <c r="E79" s="95">
        <f t="shared" si="65"/>
        <v>4.1196388261851014E-3</v>
      </c>
      <c r="F79" s="108">
        <f t="shared" si="65"/>
        <v>-9.5810363836824702E-2</v>
      </c>
      <c r="G79" s="62">
        <f>G14/G39</f>
        <v>-0.29426770675704134</v>
      </c>
      <c r="H79" s="60">
        <f>H14/H39</f>
        <v>-7.4017003454505639E-2</v>
      </c>
      <c r="I79" s="60" t="e">
        <f>I14/I39</f>
        <v>#DIV/0!</v>
      </c>
      <c r="J79" s="60" t="e">
        <f t="shared" ref="J79:K79" si="66">J14/J39</f>
        <v>#DIV/0!</v>
      </c>
      <c r="K79" s="60" t="e">
        <f t="shared" si="66"/>
        <v>#DIV/0!</v>
      </c>
    </row>
    <row r="80" spans="1:11" x14ac:dyDescent="0.15">
      <c r="A80" s="1" t="s">
        <v>40</v>
      </c>
      <c r="B80" s="60">
        <f>B14/B34</f>
        <v>-2.2425918341315715E-2</v>
      </c>
      <c r="C80" s="61">
        <f>C14/C34</f>
        <v>-5.2873485309432464E-2</v>
      </c>
      <c r="D80" s="95" t="s">
        <v>77</v>
      </c>
      <c r="E80" s="95" t="s">
        <v>77</v>
      </c>
      <c r="F80" s="108" t="s">
        <v>77</v>
      </c>
      <c r="G80" s="62">
        <f>G14/G34</f>
        <v>-7.1083727915152647E-2</v>
      </c>
      <c r="H80" s="60">
        <f>H14/H34</f>
        <v>-2.2481663342573784E-2</v>
      </c>
      <c r="I80" s="60" t="e">
        <f>I14/I34</f>
        <v>#DIV/0!</v>
      </c>
      <c r="J80" s="60" t="e">
        <f t="shared" ref="J80:K80" si="67">J14/J34</f>
        <v>#DIV/0!</v>
      </c>
      <c r="K80" s="60" t="e">
        <f t="shared" si="67"/>
        <v>#DIV/0!</v>
      </c>
    </row>
    <row r="81" spans="1:11" s="18" customFormat="1" x14ac:dyDescent="0.15">
      <c r="A81" s="18" t="s">
        <v>110</v>
      </c>
      <c r="B81" s="60">
        <f t="shared" ref="B81:C81" si="68">B14/(B34-B45-B46)</f>
        <v>-2.2999294320702954E-2</v>
      </c>
      <c r="C81" s="61">
        <f t="shared" si="68"/>
        <v>-5.4281128436415339E-2</v>
      </c>
      <c r="D81" s="95" t="s">
        <v>77</v>
      </c>
      <c r="E81" s="95" t="s">
        <v>77</v>
      </c>
      <c r="F81" s="108" t="s">
        <v>77</v>
      </c>
      <c r="G81" s="62">
        <f>G14/(G34-G45-G46)</f>
        <v>-7.2940614263942341E-2</v>
      </c>
      <c r="H81" s="60">
        <f t="shared" ref="H81:I81" si="69">H14/(H34-H45-H46)</f>
        <v>-2.4665045089950165E-2</v>
      </c>
      <c r="I81" s="60" t="e">
        <f t="shared" si="69"/>
        <v>#DIV/0!</v>
      </c>
      <c r="J81" s="60" t="e">
        <f t="shared" ref="J81:K81" si="70">J14/(J34-J45-J46)</f>
        <v>#DIV/0!</v>
      </c>
      <c r="K81" s="60" t="e">
        <f t="shared" si="70"/>
        <v>#DIV/0!</v>
      </c>
    </row>
    <row r="82" spans="1:11" x14ac:dyDescent="0.15">
      <c r="A82" s="1" t="s">
        <v>39</v>
      </c>
      <c r="B82" s="60">
        <f>B37/B34</f>
        <v>0.14801665831562211</v>
      </c>
      <c r="C82" s="61">
        <f>C37/C34</f>
        <v>0.14044889801039728</v>
      </c>
      <c r="D82" s="95" t="s">
        <v>77</v>
      </c>
      <c r="E82" s="95" t="s">
        <v>77</v>
      </c>
      <c r="F82" s="108" t="s">
        <v>77</v>
      </c>
      <c r="G82" s="62">
        <f>G37/G34</f>
        <v>0.14861554816258213</v>
      </c>
      <c r="H82" s="60">
        <f>H37/H34</f>
        <v>0.15022835477453617</v>
      </c>
      <c r="I82" s="60" t="e">
        <f>I37/I34</f>
        <v>#DIV/0!</v>
      </c>
      <c r="J82" s="60" t="e">
        <f t="shared" ref="J82:K82" si="71">J37/J34</f>
        <v>#DIV/0!</v>
      </c>
      <c r="K82" s="60" t="e">
        <f t="shared" si="71"/>
        <v>#DIV/0!</v>
      </c>
    </row>
    <row r="84" spans="1:11" s="18" customFormat="1" x14ac:dyDescent="0.15"/>
    <row r="85" spans="1:11" x14ac:dyDescent="0.15">
      <c r="A85" s="32" t="s">
        <v>129</v>
      </c>
    </row>
    <row r="86" spans="1:11" x14ac:dyDescent="0.15">
      <c r="A86" s="32" t="s">
        <v>128</v>
      </c>
    </row>
  </sheetData>
  <mergeCells count="6">
    <mergeCell ref="D73:F73"/>
    <mergeCell ref="D9:F9"/>
    <mergeCell ref="D16:F16"/>
    <mergeCell ref="D31:F31"/>
    <mergeCell ref="D50:F50"/>
    <mergeCell ref="D70:F70"/>
  </mergeCells>
  <pageMargins left="0.7" right="0.7" top="0.75" bottom="0.75" header="0.3" footer="0.3"/>
  <pageSetup paperSize="9" scale="65" orientation="portrait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R86"/>
  <sheetViews>
    <sheetView view="pageBreakPreview" zoomScale="85" zoomScaleNormal="55" zoomScaleSheetLayoutView="85" workbookViewId="0">
      <selection activeCell="G15" sqref="G15"/>
    </sheetView>
  </sheetViews>
  <sheetFormatPr baseColWidth="10" defaultColWidth="9.1640625" defaultRowHeight="14" outlineLevelRow="1" outlineLevelCol="3" x14ac:dyDescent="0.15"/>
  <cols>
    <col min="1" max="1" width="41" style="18" customWidth="1"/>
    <col min="2" max="3" width="11" style="18" customWidth="1" outlineLevel="2"/>
    <col min="4" max="5" width="12.5" style="18" hidden="1" customWidth="1" outlineLevel="3"/>
    <col min="6" max="6" width="12.5" style="18" hidden="1" customWidth="1" outlineLevel="3" collapsed="1"/>
    <col min="7" max="11" width="11" style="18" customWidth="1"/>
    <col min="12" max="12" width="9.1640625" style="18"/>
    <col min="13" max="13" width="20" style="18" customWidth="1"/>
    <col min="14" max="18" width="10.83203125" style="18" customWidth="1"/>
    <col min="19" max="16384" width="9.1640625" style="18"/>
  </cols>
  <sheetData>
    <row r="1" spans="1:18" ht="10.5" customHeight="1" x14ac:dyDescent="0.15">
      <c r="A1" s="28" t="s">
        <v>118</v>
      </c>
      <c r="B1" s="31" t="str">
        <f>Cover!A9</f>
        <v>Y</v>
      </c>
      <c r="C1" s="31" t="str">
        <f>Cover!B9</f>
        <v>Y</v>
      </c>
      <c r="D1" s="31" t="s">
        <v>77</v>
      </c>
      <c r="E1" s="31" t="s">
        <v>77</v>
      </c>
      <c r="F1" s="81" t="s">
        <v>77</v>
      </c>
      <c r="G1" s="33" t="str">
        <f>Cover!C9</f>
        <v>Y</v>
      </c>
      <c r="H1" s="31" t="str">
        <f>Cover!D9</f>
        <v>Y</v>
      </c>
      <c r="I1" s="31">
        <f>Cover!E9</f>
        <v>0</v>
      </c>
      <c r="J1" s="31">
        <f>Cover!F9</f>
        <v>0</v>
      </c>
      <c r="K1" s="31">
        <f>Cover!G9</f>
        <v>0</v>
      </c>
    </row>
    <row r="2" spans="1:18" ht="10.5" customHeight="1" x14ac:dyDescent="0.15">
      <c r="A2" s="28" t="s">
        <v>119</v>
      </c>
      <c r="B2" s="31" t="str">
        <f>Cover!A10</f>
        <v>PwC</v>
      </c>
      <c r="C2" s="31" t="str">
        <f>Cover!B10</f>
        <v>PwC</v>
      </c>
      <c r="D2" s="31" t="s">
        <v>77</v>
      </c>
      <c r="E2" s="31" t="s">
        <v>77</v>
      </c>
      <c r="F2" s="81" t="s">
        <v>77</v>
      </c>
      <c r="G2" s="33" t="str">
        <f>Cover!C10</f>
        <v>PwC</v>
      </c>
      <c r="H2" s="31" t="str">
        <f>Cover!D10</f>
        <v>PwC</v>
      </c>
      <c r="I2" s="31" t="str">
        <f>Cover!E10</f>
        <v>Auditor</v>
      </c>
      <c r="J2" s="31" t="str">
        <f>Cover!F10</f>
        <v>Auditor</v>
      </c>
      <c r="K2" s="31" t="str">
        <f>Cover!G10</f>
        <v>Auditor</v>
      </c>
    </row>
    <row r="3" spans="1:18" ht="10.5" customHeight="1" x14ac:dyDescent="0.15">
      <c r="A3" s="28" t="s">
        <v>120</v>
      </c>
      <c r="B3" s="31" t="str">
        <f>Cover!A11</f>
        <v>Opinion</v>
      </c>
      <c r="C3" s="31" t="str">
        <f>Cover!B11</f>
        <v>Opinion</v>
      </c>
      <c r="D3" s="31" t="s">
        <v>77</v>
      </c>
      <c r="E3" s="31" t="s">
        <v>77</v>
      </c>
      <c r="F3" s="81" t="s">
        <v>77</v>
      </c>
      <c r="G3" s="33" t="str">
        <f>Cover!C11</f>
        <v>Unqualified</v>
      </c>
      <c r="H3" s="31" t="str">
        <f>Cover!D11</f>
        <v>Unqualified</v>
      </c>
      <c r="I3" s="31" t="str">
        <f>Cover!E11</f>
        <v>Opinion</v>
      </c>
      <c r="J3" s="31" t="str">
        <f>Cover!F11</f>
        <v>Opinion</v>
      </c>
      <c r="K3" s="31" t="str">
        <f>Cover!G11</f>
        <v>Opinion</v>
      </c>
    </row>
    <row r="4" spans="1:18" ht="6.75" customHeight="1" outlineLevel="1" x14ac:dyDescent="0.15">
      <c r="A4" s="28"/>
      <c r="B4" s="31"/>
      <c r="C4" s="31"/>
      <c r="D4" s="31"/>
      <c r="E4" s="31"/>
      <c r="F4" s="81"/>
      <c r="G4" s="33"/>
      <c r="H4" s="31"/>
      <c r="I4" s="31"/>
      <c r="J4" s="31"/>
      <c r="K4" s="31"/>
    </row>
    <row r="5" spans="1:18" ht="10.5" customHeight="1" outlineLevel="1" x14ac:dyDescent="0.15">
      <c r="A5" s="28" t="str">
        <f>Cover!A16</f>
        <v>Average exchange rate (EUR/USD)</v>
      </c>
      <c r="B5" s="31">
        <f>Cover!A17</f>
        <v>0.72943000000000002</v>
      </c>
      <c r="C5" s="31">
        <f>Cover!B17</f>
        <v>0.76166500000000004</v>
      </c>
      <c r="D5" s="31">
        <v>0.75324000000000002</v>
      </c>
      <c r="E5" s="81">
        <v>0.75324000000000002</v>
      </c>
      <c r="F5" s="81">
        <v>0.75324000000000002</v>
      </c>
      <c r="G5" s="33">
        <f>Cover!C17</f>
        <v>0.75324000000000002</v>
      </c>
      <c r="H5" s="31">
        <f>Cover!D17</f>
        <v>0.77815499999999993</v>
      </c>
      <c r="I5" s="31">
        <f>Cover!E17</f>
        <v>0.71886499999999998</v>
      </c>
      <c r="J5" s="31">
        <f>Cover!F17</f>
        <v>0.75475999999999999</v>
      </c>
      <c r="K5" s="31">
        <f>Cover!G17</f>
        <v>0.719055</v>
      </c>
      <c r="M5" s="36"/>
    </row>
    <row r="6" spans="1:18" ht="10.5" customHeight="1" outlineLevel="1" x14ac:dyDescent="0.15">
      <c r="A6" s="28" t="s">
        <v>131</v>
      </c>
      <c r="B6" s="42">
        <f>B5/C5-1</f>
        <v>-4.2321755627474089E-2</v>
      </c>
      <c r="C6" s="31"/>
      <c r="D6" s="80">
        <f>D5/E5-1</f>
        <v>0</v>
      </c>
      <c r="E6" s="80">
        <f>E5/F5-1</f>
        <v>0</v>
      </c>
      <c r="F6" s="80">
        <f>F5/G5-1</f>
        <v>0</v>
      </c>
      <c r="G6" s="43">
        <f>G5/H5-1</f>
        <v>-3.201804267787256E-2</v>
      </c>
      <c r="H6" s="42">
        <f t="shared" ref="H6:J6" si="0">H5/I5-1</f>
        <v>8.2477238424460753E-2</v>
      </c>
      <c r="I6" s="42">
        <f t="shared" si="0"/>
        <v>-4.7558164184641538E-2</v>
      </c>
      <c r="J6" s="42">
        <f t="shared" si="0"/>
        <v>4.965545055663334E-2</v>
      </c>
      <c r="K6" s="31"/>
    </row>
    <row r="7" spans="1:18" ht="6.75" customHeight="1" x14ac:dyDescent="0.15">
      <c r="A7" s="28"/>
      <c r="B7" s="31"/>
      <c r="C7" s="31"/>
      <c r="D7" s="31"/>
      <c r="E7" s="31"/>
      <c r="F7" s="81"/>
      <c r="G7" s="33"/>
      <c r="H7" s="31"/>
      <c r="I7" s="31"/>
      <c r="J7" s="31"/>
      <c r="K7" s="31"/>
    </row>
    <row r="8" spans="1:18" x14ac:dyDescent="0.15">
      <c r="A8" s="18" t="s">
        <v>130</v>
      </c>
      <c r="B8" s="44" t="str">
        <f>Cover!A8</f>
        <v>H1 2014</v>
      </c>
      <c r="C8" s="44" t="str">
        <f>Cover!B8</f>
        <v>H1 2013</v>
      </c>
      <c r="D8" s="82" t="s">
        <v>157</v>
      </c>
      <c r="E8" s="82" t="s">
        <v>158</v>
      </c>
      <c r="F8" s="102" t="s">
        <v>159</v>
      </c>
      <c r="G8" s="45" t="str">
        <f>Cover!C8</f>
        <v>12/31/2013</v>
      </c>
      <c r="H8" s="44" t="str">
        <f>Cover!D8</f>
        <v>12/31/2012</v>
      </c>
      <c r="I8" s="44">
        <f>Cover!E8</f>
        <v>0</v>
      </c>
      <c r="J8" s="44">
        <f>Cover!F8</f>
        <v>0</v>
      </c>
      <c r="K8" s="44">
        <f>Cover!G8</f>
        <v>0</v>
      </c>
    </row>
    <row r="9" spans="1:18" x14ac:dyDescent="0.15">
      <c r="A9" s="15" t="s">
        <v>74</v>
      </c>
      <c r="B9" s="16"/>
      <c r="C9" s="16"/>
      <c r="D9" s="120" t="s">
        <v>160</v>
      </c>
      <c r="E9" s="120"/>
      <c r="F9" s="121"/>
      <c r="G9" s="34"/>
      <c r="H9" s="16"/>
      <c r="I9" s="16"/>
      <c r="J9" s="16"/>
      <c r="K9" s="16"/>
      <c r="M9" s="15" t="s">
        <v>81</v>
      </c>
      <c r="N9" s="15"/>
      <c r="O9" s="15"/>
      <c r="P9" s="25"/>
      <c r="Q9" s="15"/>
      <c r="R9" s="15"/>
    </row>
    <row r="10" spans="1:18" x14ac:dyDescent="0.15">
      <c r="A10" s="18" t="s">
        <v>106</v>
      </c>
      <c r="B10" s="51">
        <v>5536.8490000000002</v>
      </c>
      <c r="C10" s="52">
        <v>5444.817</v>
      </c>
      <c r="D10" s="85">
        <f>'3. Financials (Foreign)'!D10*1.327598</f>
        <v>12559.077080000001</v>
      </c>
      <c r="E10" s="85">
        <f>'3. Financials (Foreign)'!E10*1.327598</f>
        <v>13557.430776000001</v>
      </c>
      <c r="F10" s="89">
        <f>'3. Financials (Foreign)'!F10*1.327598</f>
        <v>14440.283446000001</v>
      </c>
      <c r="G10" s="53">
        <v>14908.878976156337</v>
      </c>
      <c r="H10" s="51">
        <v>15278.767083678702</v>
      </c>
      <c r="I10" s="51"/>
      <c r="J10" s="51"/>
      <c r="K10" s="51"/>
      <c r="M10" s="18" t="s">
        <v>76</v>
      </c>
      <c r="N10" s="21"/>
      <c r="O10" s="21"/>
      <c r="P10" s="21"/>
      <c r="Q10" s="21"/>
      <c r="R10" s="21"/>
    </row>
    <row r="11" spans="1:18" x14ac:dyDescent="0.15">
      <c r="A11" s="18" t="s">
        <v>73</v>
      </c>
      <c r="B11" s="51">
        <f>+B10-5157.553-295.655</f>
        <v>83.641000000000304</v>
      </c>
      <c r="C11" s="52">
        <f>C10-5081.667-264.383</f>
        <v>98.766999999999655</v>
      </c>
      <c r="D11" s="85">
        <f>'3. Financials (Foreign)'!D11*1.327598</f>
        <v>893.47345400000006</v>
      </c>
      <c r="E11" s="85">
        <f>'3. Financials (Foreign)'!E11*1.327598</f>
        <v>942.59458000000006</v>
      </c>
      <c r="F11" s="89">
        <f>'3. Financials (Foreign)'!F11*1.327598</f>
        <v>917.37021800000002</v>
      </c>
      <c r="G11" s="53">
        <v>269.26875896128701</v>
      </c>
      <c r="H11" s="51">
        <v>401.00879644800852</v>
      </c>
      <c r="I11" s="51"/>
      <c r="J11" s="51"/>
      <c r="K11" s="51"/>
      <c r="M11" s="26" t="s">
        <v>82</v>
      </c>
      <c r="N11" s="21"/>
      <c r="O11" s="21"/>
      <c r="P11" s="21"/>
      <c r="Q11" s="21"/>
      <c r="R11" s="21"/>
    </row>
    <row r="12" spans="1:18" x14ac:dyDescent="0.15">
      <c r="A12" s="18" t="s">
        <v>72</v>
      </c>
      <c r="B12" s="51">
        <f>'1. EBITDA cleaner'!E6</f>
        <v>3.9470000000000063</v>
      </c>
      <c r="C12" s="52">
        <f>'1. EBITDA cleaner'!F6</f>
        <v>13.817999999999957</v>
      </c>
      <c r="D12" s="85">
        <f>'3. Financials (Foreign)'!D12*1.327598</f>
        <v>305.34754000000004</v>
      </c>
      <c r="E12" s="85">
        <f>'3. Financials (Foreign)'!E12*1.327598</f>
        <v>285.43357000000003</v>
      </c>
      <c r="F12" s="89">
        <f>'3. Financials (Foreign)'!F12*1.327598</f>
        <v>147.36337800000001</v>
      </c>
      <c r="G12" s="53">
        <v>110.29419574106528</v>
      </c>
      <c r="H12" s="51">
        <v>332.48388817137982</v>
      </c>
      <c r="I12" s="51">
        <f>'1. EBITDA cleaner'!I6</f>
        <v>0</v>
      </c>
      <c r="J12" s="51">
        <f>'1. EBITDA cleaner'!J6</f>
        <v>0</v>
      </c>
      <c r="K12" s="51">
        <f>'1. EBITDA cleaner'!K6</f>
        <v>0</v>
      </c>
      <c r="M12" s="26" t="s">
        <v>83</v>
      </c>
      <c r="N12" s="21"/>
      <c r="O12" s="21"/>
      <c r="P12" s="21"/>
      <c r="Q12" s="21"/>
      <c r="R12" s="21"/>
    </row>
    <row r="13" spans="1:18" x14ac:dyDescent="0.15">
      <c r="A13" s="18" t="s">
        <v>132</v>
      </c>
      <c r="B13" s="51">
        <f>'1. EBITDA cleaner'!E26*-1</f>
        <v>-28.787000000000006</v>
      </c>
      <c r="C13" s="52">
        <f>'1. EBITDA cleaner'!F26*-1</f>
        <v>-3.5079999999999956</v>
      </c>
      <c r="D13" s="85">
        <f>'3. Financials (Foreign)'!D13*1.327598</f>
        <v>-37.172744000000002</v>
      </c>
      <c r="E13" s="85">
        <f>'3. Financials (Foreign)'!E13*1.327598</f>
        <v>-37.172744000000002</v>
      </c>
      <c r="F13" s="89">
        <f>'3. Financials (Foreign)'!F13*1.327598</f>
        <v>-40.890018400000002</v>
      </c>
      <c r="G13" s="53">
        <v>-39.083160745579086</v>
      </c>
      <c r="H13" s="51">
        <v>-66.675662303782687</v>
      </c>
      <c r="I13" s="51">
        <f>'1. EBITDA cleaner'!I26*-1</f>
        <v>0</v>
      </c>
      <c r="J13" s="51">
        <f>'1. EBITDA cleaner'!J26*-1</f>
        <v>0</v>
      </c>
      <c r="K13" s="51">
        <f>'1. EBITDA cleaner'!K26*-1</f>
        <v>0</v>
      </c>
      <c r="M13" s="26" t="s">
        <v>84</v>
      </c>
      <c r="N13" s="21"/>
      <c r="O13" s="21"/>
      <c r="P13" s="21"/>
      <c r="Q13" s="21"/>
      <c r="R13" s="21"/>
    </row>
    <row r="14" spans="1:18" x14ac:dyDescent="0.15">
      <c r="A14" s="18" t="s">
        <v>0</v>
      </c>
      <c r="B14" s="51">
        <f>'1. EBITDA cleaner'!E27</f>
        <v>-83.337000000000003</v>
      </c>
      <c r="C14" s="52">
        <f>'1. EBITDA cleaner'!F27</f>
        <v>-201.25700000000001</v>
      </c>
      <c r="D14" s="85">
        <f>'3. Financials (Foreign)'!D14*1.327598</f>
        <v>26.817479599999999</v>
      </c>
      <c r="E14" s="85">
        <f>'3. Financials (Foreign)'!E14*1.327598</f>
        <v>4.8457327000000001</v>
      </c>
      <c r="F14" s="89">
        <f>'3. Financials (Foreign)'!F14*1.327598</f>
        <v>-115.36826620000001</v>
      </c>
      <c r="G14" s="53">
        <v>-359.88529552333915</v>
      </c>
      <c r="H14" s="51">
        <v>-113.82822188381492</v>
      </c>
      <c r="I14" s="51">
        <f>'1. EBITDA cleaner'!I27</f>
        <v>0</v>
      </c>
      <c r="J14" s="51">
        <f>'1. EBITDA cleaner'!J27</f>
        <v>0</v>
      </c>
      <c r="K14" s="51">
        <f>'1. EBITDA cleaner'!K27</f>
        <v>0</v>
      </c>
      <c r="M14" s="26" t="s">
        <v>85</v>
      </c>
      <c r="N14" s="21"/>
      <c r="O14" s="21"/>
      <c r="P14" s="21"/>
      <c r="Q14" s="21"/>
      <c r="R14" s="21"/>
    </row>
    <row r="15" spans="1:18" x14ac:dyDescent="0.15">
      <c r="A15" s="18" t="s">
        <v>103</v>
      </c>
      <c r="B15" s="51">
        <f>'1. EBITDA cleaner'!E10*-1</f>
        <v>11.7</v>
      </c>
      <c r="C15" s="52">
        <f>'1. EBITDA cleaner'!F10*-1</f>
        <v>14.441000000000001</v>
      </c>
      <c r="D15" s="86" t="s">
        <v>77</v>
      </c>
      <c r="E15" s="86" t="s">
        <v>77</v>
      </c>
      <c r="F15" s="103" t="s">
        <v>77</v>
      </c>
      <c r="G15" s="53">
        <v>-323.87021400881525</v>
      </c>
      <c r="H15" s="51">
        <v>-106.2487550680777</v>
      </c>
      <c r="I15" s="51">
        <f>'1. EBITDA cleaner'!I10*-1</f>
        <v>0</v>
      </c>
      <c r="J15" s="51">
        <f>'1. EBITDA cleaner'!J10*-1</f>
        <v>0</v>
      </c>
      <c r="K15" s="51">
        <f>'1. EBITDA cleaner'!K10*-1</f>
        <v>0</v>
      </c>
      <c r="M15" s="26" t="s">
        <v>86</v>
      </c>
      <c r="N15" s="21"/>
      <c r="O15" s="21"/>
      <c r="P15" s="21"/>
      <c r="Q15" s="21"/>
      <c r="R15" s="21"/>
    </row>
    <row r="16" spans="1:18" x14ac:dyDescent="0.15">
      <c r="A16" s="15" t="s">
        <v>71</v>
      </c>
      <c r="B16" s="16"/>
      <c r="C16" s="16"/>
      <c r="D16" s="120" t="s">
        <v>160</v>
      </c>
      <c r="E16" s="120"/>
      <c r="F16" s="121"/>
      <c r="G16" s="34"/>
      <c r="H16" s="16"/>
      <c r="I16" s="16"/>
      <c r="J16" s="16"/>
      <c r="K16" s="16"/>
      <c r="M16" s="18" t="s">
        <v>87</v>
      </c>
      <c r="N16" s="21"/>
      <c r="O16" s="21"/>
      <c r="P16" s="21"/>
      <c r="Q16" s="21"/>
      <c r="R16" s="21"/>
    </row>
    <row r="17" spans="1:18" x14ac:dyDescent="0.15">
      <c r="A17" s="18" t="s">
        <v>34</v>
      </c>
      <c r="B17" s="51">
        <f>'2. FFO calculator'!F20</f>
        <v>-64.997</v>
      </c>
      <c r="C17" s="52">
        <f>'2. FFO calculator'!G20</f>
        <v>-32.561000000000021</v>
      </c>
      <c r="D17" s="85">
        <f>D19-D18</f>
        <v>239.06057186000001</v>
      </c>
      <c r="E17" s="85">
        <f>E19-E18</f>
        <v>238.92781206000001</v>
      </c>
      <c r="F17" s="89">
        <f>F19-F18</f>
        <v>114.0406682</v>
      </c>
      <c r="G17" s="53">
        <v>-47.143008868355359</v>
      </c>
      <c r="H17" s="51">
        <v>14.345471017984863</v>
      </c>
      <c r="I17" s="51">
        <f>'2. FFO calculator'!J20</f>
        <v>0</v>
      </c>
      <c r="J17" s="51">
        <f>'2. FFO calculator'!K20</f>
        <v>0</v>
      </c>
      <c r="K17" s="51">
        <f>'2. FFO calculator'!L20</f>
        <v>0</v>
      </c>
      <c r="M17" s="18" t="s">
        <v>88</v>
      </c>
      <c r="N17" s="21"/>
      <c r="O17" s="21"/>
      <c r="P17" s="21"/>
      <c r="Q17" s="21"/>
      <c r="R17" s="21"/>
    </row>
    <row r="18" spans="1:18" ht="11.25" customHeight="1" x14ac:dyDescent="0.15">
      <c r="A18" s="17" t="s">
        <v>70</v>
      </c>
      <c r="B18" s="48">
        <f>'2. FFO calculator'!F16</f>
        <v>78.146000000000001</v>
      </c>
      <c r="C18" s="49">
        <f>'2. FFO calculator'!G16</f>
        <v>157.06900000000002</v>
      </c>
      <c r="D18" s="88">
        <f>'3. Financials (Foreign)'!D18*1.327598</f>
        <v>-5.403323859999996</v>
      </c>
      <c r="E18" s="88">
        <f>'3. Financials (Foreign)'!E18*1.327598</f>
        <v>-7.9257600600000009</v>
      </c>
      <c r="F18" s="104">
        <f>'3. Financials (Foreign)'!F18*1.327598</f>
        <v>55.891875800000015</v>
      </c>
      <c r="G18" s="50">
        <v>476.96617280016989</v>
      </c>
      <c r="H18" s="48">
        <v>674.82313934884439</v>
      </c>
      <c r="I18" s="48">
        <f>'2. FFO calculator'!J16</f>
        <v>0</v>
      </c>
      <c r="J18" s="48">
        <f>'2. FFO calculator'!K16</f>
        <v>0</v>
      </c>
      <c r="K18" s="48">
        <f>'2. FFO calculator'!L16</f>
        <v>0</v>
      </c>
      <c r="M18" s="24" t="s">
        <v>89</v>
      </c>
      <c r="N18" s="27"/>
      <c r="O18" s="27"/>
      <c r="P18" s="27"/>
      <c r="Q18" s="27"/>
      <c r="R18" s="27"/>
    </row>
    <row r="19" spans="1:18" x14ac:dyDescent="0.15">
      <c r="A19" s="18" t="s">
        <v>23</v>
      </c>
      <c r="B19" s="51">
        <f>'2. FFO calculator'!F6</f>
        <v>13.148999999999999</v>
      </c>
      <c r="C19" s="52">
        <f>'2. FFO calculator'!G6</f>
        <v>124.508</v>
      </c>
      <c r="D19" s="85">
        <f>'3. Financials (Foreign)'!D19*1.327598</f>
        <v>233.65724800000001</v>
      </c>
      <c r="E19" s="85">
        <f>'3. Financials (Foreign)'!E19*1.327598</f>
        <v>231.00205200000002</v>
      </c>
      <c r="F19" s="89">
        <f>'3. Financials (Foreign)'!F19*1.327598</f>
        <v>169.93254400000001</v>
      </c>
      <c r="G19" s="53">
        <v>429.82316393181452</v>
      </c>
      <c r="H19" s="51">
        <v>689.16861036682928</v>
      </c>
      <c r="I19" s="51">
        <f>'2. FFO calculator'!J6</f>
        <v>0</v>
      </c>
      <c r="J19" s="51">
        <f>'2. FFO calculator'!K6</f>
        <v>0</v>
      </c>
      <c r="K19" s="51">
        <f>'2. FFO calculator'!L6</f>
        <v>0</v>
      </c>
    </row>
    <row r="20" spans="1:18" x14ac:dyDescent="0.15">
      <c r="A20" s="18" t="s">
        <v>69</v>
      </c>
      <c r="B20" s="51">
        <f>-0.042-3.51-0.236-0.903-35.145</f>
        <v>-39.835999999999999</v>
      </c>
      <c r="C20" s="52">
        <f>-0.212-15.561-0.117-0.61-46.675</f>
        <v>-63.174999999999997</v>
      </c>
      <c r="D20" s="85">
        <f>'3. Financials (Foreign)'!D20*1.327598</f>
        <v>-138.07019200000002</v>
      </c>
      <c r="E20" s="85">
        <f>'3. Financials (Foreign)'!E20*1.327598</f>
        <v>-138.07019200000002</v>
      </c>
      <c r="F20" s="89">
        <f>'3. Financials (Foreign)'!F20*1.327598</f>
        <v>-122.4045356</v>
      </c>
      <c r="G20" s="53">
        <v>-144.54622696617281</v>
      </c>
      <c r="H20" s="51">
        <v>-145.3900572508048</v>
      </c>
      <c r="I20" s="51"/>
      <c r="J20" s="51"/>
      <c r="K20" s="51"/>
    </row>
    <row r="21" spans="1:18" ht="11.25" customHeight="1" x14ac:dyDescent="0.15">
      <c r="A21" s="17" t="s">
        <v>68</v>
      </c>
      <c r="B21" s="48"/>
      <c r="C21" s="49"/>
      <c r="D21" s="88"/>
      <c r="E21" s="88"/>
      <c r="F21" s="104"/>
      <c r="G21" s="50">
        <v>0</v>
      </c>
      <c r="H21" s="48">
        <v>0</v>
      </c>
      <c r="I21" s="48"/>
      <c r="J21" s="48"/>
      <c r="K21" s="48"/>
    </row>
    <row r="22" spans="1:18" x14ac:dyDescent="0.15">
      <c r="A22" s="18" t="s">
        <v>67</v>
      </c>
      <c r="B22" s="51">
        <f>B19+B20</f>
        <v>-26.686999999999998</v>
      </c>
      <c r="C22" s="52">
        <f t="shared" ref="C22:K22" si="1">C19+C20</f>
        <v>61.332999999999998</v>
      </c>
      <c r="D22" s="85">
        <f>'3. Financials (Foreign)'!D22*1.327598</f>
        <v>58.679831600000007</v>
      </c>
      <c r="E22" s="85">
        <f>'3. Financials (Foreign)'!E22*1.327598</f>
        <v>56.024635600000003</v>
      </c>
      <c r="F22" s="89">
        <f>'3. Financials (Foreign)'!F22*1.327598</f>
        <v>6.8902336200000009</v>
      </c>
      <c r="G22" s="53">
        <v>285.27693696564177</v>
      </c>
      <c r="H22" s="51">
        <v>543.77855311602445</v>
      </c>
      <c r="I22" s="51">
        <f t="shared" si="1"/>
        <v>0</v>
      </c>
      <c r="J22" s="51">
        <f t="shared" si="1"/>
        <v>0</v>
      </c>
      <c r="K22" s="51">
        <f t="shared" si="1"/>
        <v>0</v>
      </c>
    </row>
    <row r="23" spans="1:18" ht="11.25" customHeight="1" outlineLevel="1" x14ac:dyDescent="0.15">
      <c r="A23" s="17" t="s">
        <v>111</v>
      </c>
      <c r="B23" s="48">
        <f>B17+B26</f>
        <v>-64.997</v>
      </c>
      <c r="C23" s="49">
        <f t="shared" ref="C23:K23" si="2">C17+C26</f>
        <v>-32.561000000000021</v>
      </c>
      <c r="D23" s="88">
        <f t="shared" si="2"/>
        <v>239.06057186000001</v>
      </c>
      <c r="E23" s="88">
        <f t="shared" si="2"/>
        <v>238.92781206000001</v>
      </c>
      <c r="F23" s="104">
        <f t="shared" si="2"/>
        <v>114.0406682</v>
      </c>
      <c r="G23" s="50">
        <v>-47.143008868355359</v>
      </c>
      <c r="H23" s="48">
        <v>14.345471017984863</v>
      </c>
      <c r="I23" s="48">
        <f t="shared" si="2"/>
        <v>0</v>
      </c>
      <c r="J23" s="48">
        <f t="shared" si="2"/>
        <v>0</v>
      </c>
      <c r="K23" s="48">
        <f t="shared" si="2"/>
        <v>0</v>
      </c>
    </row>
    <row r="24" spans="1:18" x14ac:dyDescent="0.15">
      <c r="A24" s="18" t="s">
        <v>66</v>
      </c>
      <c r="B24" s="51"/>
      <c r="C24" s="52"/>
      <c r="D24" s="85"/>
      <c r="E24" s="85"/>
      <c r="F24" s="89"/>
      <c r="G24" s="53">
        <v>0</v>
      </c>
      <c r="H24" s="76">
        <v>0</v>
      </c>
      <c r="I24" s="51"/>
      <c r="J24" s="51"/>
      <c r="K24" s="51"/>
    </row>
    <row r="25" spans="1:18" x14ac:dyDescent="0.15">
      <c r="A25" s="18" t="s">
        <v>90</v>
      </c>
      <c r="B25" s="51">
        <f>0.699+3.493</f>
        <v>4.1920000000000002</v>
      </c>
      <c r="C25" s="52">
        <f>0.09+3.915+7.814+5.911+0.03</f>
        <v>17.759999999999998</v>
      </c>
      <c r="D25" s="85"/>
      <c r="E25" s="85"/>
      <c r="F25" s="89"/>
      <c r="G25" s="74">
        <v>25.609367532260631</v>
      </c>
      <c r="H25" s="51">
        <v>9.6497484434335057</v>
      </c>
      <c r="I25" s="75"/>
      <c r="J25" s="51"/>
      <c r="K25" s="51"/>
    </row>
    <row r="26" spans="1:18" x14ac:dyDescent="0.15">
      <c r="A26" s="18" t="s">
        <v>65</v>
      </c>
      <c r="B26" s="51"/>
      <c r="C26" s="52"/>
      <c r="D26" s="85"/>
      <c r="E26" s="85"/>
      <c r="F26" s="89"/>
      <c r="G26" s="53">
        <v>0</v>
      </c>
      <c r="H26" s="77">
        <v>0</v>
      </c>
      <c r="I26" s="51"/>
      <c r="J26" s="51"/>
      <c r="K26" s="51"/>
      <c r="O26" s="18">
        <f>1/O27</f>
        <v>1.327598109500292</v>
      </c>
    </row>
    <row r="27" spans="1:18" x14ac:dyDescent="0.15">
      <c r="A27" s="18" t="s">
        <v>64</v>
      </c>
      <c r="B27" s="51"/>
      <c r="C27" s="52"/>
      <c r="D27" s="85"/>
      <c r="E27" s="85"/>
      <c r="F27" s="89"/>
      <c r="G27" s="53">
        <v>-7.8899155647602353</v>
      </c>
      <c r="H27" s="51">
        <v>0</v>
      </c>
      <c r="I27" s="51"/>
      <c r="J27" s="51"/>
      <c r="K27" s="51"/>
      <c r="O27" s="81">
        <v>0.75324000000000002</v>
      </c>
    </row>
    <row r="28" spans="1:18" x14ac:dyDescent="0.15">
      <c r="A28" s="18" t="s">
        <v>63</v>
      </c>
      <c r="B28" s="51">
        <f>-32.012-19.477</f>
        <v>-51.489000000000004</v>
      </c>
      <c r="C28" s="52">
        <v>-90.144999999999996</v>
      </c>
      <c r="D28" s="85">
        <f>'3. Financials (Foreign)'!D28*1.327598</f>
        <v>-167.27734800000002</v>
      </c>
      <c r="E28" s="85">
        <f>'3. Financials (Foreign)'!E28*1.327598</f>
        <v>-66.379900000000006</v>
      </c>
      <c r="F28" s="89">
        <f>'3. Financials (Foreign)'!F28*1.327598</f>
        <v>-41.155538</v>
      </c>
      <c r="G28" s="53">
        <v>-64.484095374648192</v>
      </c>
      <c r="H28" s="51">
        <v>-407.90716502496298</v>
      </c>
      <c r="I28" s="51"/>
      <c r="J28" s="51"/>
      <c r="K28" s="51"/>
    </row>
    <row r="29" spans="1:18" x14ac:dyDescent="0.15">
      <c r="A29" s="18" t="s">
        <v>80</v>
      </c>
      <c r="B29" s="51"/>
      <c r="C29" s="52"/>
      <c r="D29" s="85"/>
      <c r="E29" s="85"/>
      <c r="F29" s="89"/>
      <c r="G29" s="53">
        <v>0</v>
      </c>
      <c r="H29" s="51">
        <v>0</v>
      </c>
      <c r="I29" s="51"/>
      <c r="J29" s="51"/>
      <c r="K29" s="51"/>
      <c r="P29" s="78"/>
    </row>
    <row r="30" spans="1:18" hidden="1" outlineLevel="1" x14ac:dyDescent="0.15">
      <c r="A30" s="28" t="s">
        <v>99</v>
      </c>
      <c r="B30" s="51">
        <f>'1. EBITDA cleaner'!E24</f>
        <v>97.936000000000007</v>
      </c>
      <c r="C30" s="52">
        <f>'1. EBITDA cleaner'!F24</f>
        <v>329.50799999999998</v>
      </c>
      <c r="D30" s="85">
        <f>'3. Financials (Foreign)'!D30*1.327598</f>
        <v>212.41568000000001</v>
      </c>
      <c r="E30" s="85">
        <f>'3. Financials (Foreign)'!E30*1.327598</f>
        <v>223.03646400000002</v>
      </c>
      <c r="F30" s="89">
        <f>'3. Financials (Foreign)'!F30*1.327598</f>
        <v>237.64004200000002</v>
      </c>
      <c r="G30" s="53">
        <v>565.21427433487338</v>
      </c>
      <c r="H30" s="51">
        <v>313.80123497246694</v>
      </c>
      <c r="I30" s="51">
        <f>'1. EBITDA cleaner'!I24</f>
        <v>0</v>
      </c>
      <c r="J30" s="51">
        <f>'1. EBITDA cleaner'!J24</f>
        <v>0</v>
      </c>
      <c r="K30" s="51">
        <f>'1. EBITDA cleaner'!K24</f>
        <v>0</v>
      </c>
    </row>
    <row r="31" spans="1:18" collapsed="1" x14ac:dyDescent="0.15">
      <c r="A31" s="15" t="s">
        <v>62</v>
      </c>
      <c r="B31" s="16"/>
      <c r="C31" s="16"/>
      <c r="D31" s="120" t="s">
        <v>160</v>
      </c>
      <c r="E31" s="120"/>
      <c r="F31" s="121"/>
      <c r="G31" s="34"/>
      <c r="H31" s="16"/>
      <c r="I31" s="16"/>
      <c r="J31" s="16"/>
      <c r="K31" s="16"/>
      <c r="O31" s="79">
        <f>1/1.25</f>
        <v>0.8</v>
      </c>
    </row>
    <row r="32" spans="1:18" x14ac:dyDescent="0.15">
      <c r="A32" s="18" t="s">
        <v>61</v>
      </c>
      <c r="B32" s="51">
        <v>450.77699999999999</v>
      </c>
      <c r="C32" s="52">
        <v>322.24900000000002</v>
      </c>
      <c r="D32" s="85">
        <f>'3. Financials (Foreign)'!D32*1.327598</f>
        <v>557.59116000000006</v>
      </c>
      <c r="E32" s="85">
        <f>'3. Financials (Foreign)'!E32*1.327598</f>
        <v>665.12659800000006</v>
      </c>
      <c r="F32" s="89">
        <f>'3. Financials (Foreign)'!F32*1.327598</f>
        <v>674.41978400000005</v>
      </c>
      <c r="G32" s="53">
        <v>672.86256704370453</v>
      </c>
      <c r="H32" s="51">
        <v>389.31832347025983</v>
      </c>
      <c r="I32" s="51"/>
      <c r="J32" s="51"/>
      <c r="K32" s="51"/>
    </row>
    <row r="33" spans="1:11" x14ac:dyDescent="0.15">
      <c r="A33" s="18" t="s">
        <v>114</v>
      </c>
      <c r="B33" s="51">
        <v>1154.079</v>
      </c>
      <c r="C33" s="52">
        <v>1268.345</v>
      </c>
      <c r="D33" s="85">
        <f>'3. Financials (Foreign)'!D33*1.327598</f>
        <v>1440.4438300000002</v>
      </c>
      <c r="E33" s="85">
        <f>'3. Financials (Foreign)'!E33*1.327598</f>
        <v>1399.288292</v>
      </c>
      <c r="F33" s="89">
        <f>'3. Financials (Foreign)'!F33*1.327598</f>
        <v>1484.2545640000001</v>
      </c>
      <c r="G33" s="53">
        <v>1616.2511284583929</v>
      </c>
      <c r="H33" s="51">
        <v>1656.1713283343295</v>
      </c>
      <c r="I33" s="51"/>
      <c r="J33" s="51"/>
      <c r="K33" s="51"/>
    </row>
    <row r="34" spans="1:11" x14ac:dyDescent="0.15">
      <c r="A34" s="18" t="s">
        <v>60</v>
      </c>
      <c r="B34" s="51">
        <v>3716.1019999999999</v>
      </c>
      <c r="C34" s="52">
        <v>3806.3879999999999</v>
      </c>
      <c r="D34" s="86" t="s">
        <v>107</v>
      </c>
      <c r="E34" s="86" t="s">
        <v>107</v>
      </c>
      <c r="F34" s="103" t="s">
        <v>107</v>
      </c>
      <c r="G34" s="53">
        <v>5062.8365461207577</v>
      </c>
      <c r="H34" s="51">
        <v>5063.1583681914281</v>
      </c>
      <c r="I34" s="51"/>
      <c r="J34" s="51"/>
      <c r="K34" s="51"/>
    </row>
    <row r="35" spans="1:11" outlineLevel="1" x14ac:dyDescent="0.15">
      <c r="A35" s="28" t="s">
        <v>117</v>
      </c>
      <c r="B35" s="48">
        <v>182.99100000000001</v>
      </c>
      <c r="C35" s="49">
        <v>129.31700000000001</v>
      </c>
      <c r="D35" s="88"/>
      <c r="E35" s="88"/>
      <c r="F35" s="104"/>
      <c r="G35" s="50">
        <v>240.25542987626784</v>
      </c>
      <c r="H35" s="48">
        <v>214.60634449434886</v>
      </c>
      <c r="I35" s="48"/>
      <c r="J35" s="48"/>
      <c r="K35" s="48"/>
    </row>
    <row r="36" spans="1:11" outlineLevel="1" x14ac:dyDescent="0.15">
      <c r="A36" s="28" t="s">
        <v>116</v>
      </c>
      <c r="B36" s="48">
        <v>367.05399999999997</v>
      </c>
      <c r="C36" s="49">
        <v>405.286</v>
      </c>
      <c r="D36" s="88"/>
      <c r="E36" s="88"/>
      <c r="F36" s="104"/>
      <c r="G36" s="50">
        <v>512.16079868302268</v>
      </c>
      <c r="H36" s="48">
        <v>546.02360712197446</v>
      </c>
      <c r="I36" s="48"/>
      <c r="J36" s="48"/>
      <c r="K36" s="48"/>
    </row>
    <row r="37" spans="1:11" x14ac:dyDescent="0.15">
      <c r="A37" s="18" t="s">
        <v>59</v>
      </c>
      <c r="B37" s="51">
        <f t="shared" ref="B37:C37" si="3">SUM(B35:B36)</f>
        <v>550.04499999999996</v>
      </c>
      <c r="C37" s="52">
        <f t="shared" si="3"/>
        <v>534.60300000000007</v>
      </c>
      <c r="D37" s="85">
        <f>'3. Financials (Foreign)'!D37*1.327598</f>
        <v>477.93528000000003</v>
      </c>
      <c r="E37" s="85">
        <f>'3. Financials (Foreign)'!E37*1.327598</f>
        <v>645.212628</v>
      </c>
      <c r="F37" s="89">
        <f>'3. Financials (Foreign)'!F37*1.327598</f>
        <v>711.59252800000002</v>
      </c>
      <c r="G37" s="53">
        <v>752.41622855929052</v>
      </c>
      <c r="H37" s="51">
        <v>760.6299516163233</v>
      </c>
      <c r="I37" s="51">
        <f t="shared" ref="I37:K37" si="4">SUM(I35:I36)</f>
        <v>0</v>
      </c>
      <c r="J37" s="51">
        <f t="shared" si="4"/>
        <v>0</v>
      </c>
      <c r="K37" s="51">
        <f t="shared" si="4"/>
        <v>0</v>
      </c>
    </row>
    <row r="38" spans="1:11" ht="11.25" customHeight="1" x14ac:dyDescent="0.15">
      <c r="A38" s="17" t="s">
        <v>115</v>
      </c>
      <c r="B38" s="48">
        <f>B37+9.932+19.239</f>
        <v>579.21600000000001</v>
      </c>
      <c r="C38" s="49">
        <f>C37+22.932+9.99</f>
        <v>567.52500000000009</v>
      </c>
      <c r="D38" s="88">
        <f>D37</f>
        <v>477.93528000000003</v>
      </c>
      <c r="E38" s="88">
        <f>E37</f>
        <v>645.212628</v>
      </c>
      <c r="F38" s="104">
        <f>F37</f>
        <v>711.59252800000002</v>
      </c>
      <c r="G38" s="109">
        <v>752.41622855929052</v>
      </c>
      <c r="H38" s="48">
        <v>760.6299516163233</v>
      </c>
      <c r="I38" s="48"/>
      <c r="J38" s="48"/>
      <c r="K38" s="48"/>
    </row>
    <row r="39" spans="1:11" x14ac:dyDescent="0.15">
      <c r="A39" s="18" t="s">
        <v>58</v>
      </c>
      <c r="B39" s="51">
        <v>838.62599999999998</v>
      </c>
      <c r="C39" s="52">
        <v>990.47799999999995</v>
      </c>
      <c r="D39" s="85">
        <f>'3. Financials (Foreign)'!D39*1.327598</f>
        <v>1281.1320700000001</v>
      </c>
      <c r="E39" s="85">
        <f>'3. Financials (Foreign)'!E39*1.327598</f>
        <v>1176.2518280000002</v>
      </c>
      <c r="F39" s="89">
        <f>'3. Financials (Foreign)'!F39*1.327598</f>
        <v>1204.131386</v>
      </c>
      <c r="G39" s="74">
        <v>1222.986033667888</v>
      </c>
      <c r="H39" s="51">
        <v>1537.8658493487803</v>
      </c>
      <c r="I39" s="51"/>
      <c r="J39" s="51"/>
      <c r="K39" s="51"/>
    </row>
    <row r="40" spans="1:11" x14ac:dyDescent="0.15">
      <c r="A40" s="18" t="s">
        <v>57</v>
      </c>
      <c r="B40" s="51">
        <f>+B38+B39</f>
        <v>1417.8420000000001</v>
      </c>
      <c r="C40" s="52">
        <f>+C38+C39</f>
        <v>1558.0030000000002</v>
      </c>
      <c r="D40" s="85">
        <f>D39+D37</f>
        <v>1759.0673500000003</v>
      </c>
      <c r="E40" s="85">
        <f>E39+E37</f>
        <v>1821.4644560000002</v>
      </c>
      <c r="F40" s="99">
        <f>F39+F37</f>
        <v>1915.7239140000001</v>
      </c>
      <c r="G40" s="74">
        <v>1975.4022622271784</v>
      </c>
      <c r="H40" s="51">
        <v>2298.4958009651041</v>
      </c>
      <c r="I40" s="51">
        <f>+I38+I39</f>
        <v>0</v>
      </c>
      <c r="J40" s="51">
        <f t="shared" ref="J40:K40" si="5">+J38+J39</f>
        <v>0</v>
      </c>
      <c r="K40" s="51">
        <f t="shared" si="5"/>
        <v>0</v>
      </c>
    </row>
    <row r="41" spans="1:11" x14ac:dyDescent="0.15">
      <c r="A41" s="18" t="s">
        <v>56</v>
      </c>
      <c r="B41" s="51">
        <f>B43-B44</f>
        <v>146.32600000000002</v>
      </c>
      <c r="C41" s="52">
        <f t="shared" ref="C41:K41" si="6">C43-C44</f>
        <v>299.90300000000002</v>
      </c>
      <c r="D41" s="85">
        <f t="shared" si="6"/>
        <v>467.31449599999974</v>
      </c>
      <c r="E41" s="85">
        <f t="shared" si="6"/>
        <v>471.56280960000004</v>
      </c>
      <c r="F41" s="89">
        <f t="shared" si="6"/>
        <v>475.54560360000005</v>
      </c>
      <c r="G41" s="74">
        <v>361.66693218628888</v>
      </c>
      <c r="H41" s="51">
        <v>503.88161741555342</v>
      </c>
      <c r="I41" s="51">
        <f t="shared" si="6"/>
        <v>0</v>
      </c>
      <c r="J41" s="51">
        <f t="shared" si="6"/>
        <v>0</v>
      </c>
      <c r="K41" s="51">
        <f t="shared" si="6"/>
        <v>0</v>
      </c>
    </row>
    <row r="42" spans="1:11" x14ac:dyDescent="0.15">
      <c r="A42" s="18" t="s">
        <v>95</v>
      </c>
      <c r="B42" s="51">
        <f>B14</f>
        <v>-83.337000000000003</v>
      </c>
      <c r="C42" s="52">
        <f>C14</f>
        <v>-201.25700000000001</v>
      </c>
      <c r="D42" s="85">
        <f>E42+D14</f>
        <v>-443.59034942333915</v>
      </c>
      <c r="E42" s="85">
        <f>F42+E14</f>
        <v>-470.40782902333916</v>
      </c>
      <c r="F42" s="89">
        <f>G42+F14</f>
        <v>-475.25356172333915</v>
      </c>
      <c r="G42" s="74">
        <v>-359.88529552333915</v>
      </c>
      <c r="H42" s="51">
        <v>-113.82822188381492</v>
      </c>
      <c r="I42" s="51"/>
      <c r="J42" s="51"/>
      <c r="K42" s="51"/>
    </row>
    <row r="43" spans="1:11" hidden="1" outlineLevel="1" x14ac:dyDescent="0.15">
      <c r="A43" s="28" t="s">
        <v>96</v>
      </c>
      <c r="B43" s="51">
        <v>2216.337</v>
      </c>
      <c r="C43" s="52">
        <v>2229.4470000000001</v>
      </c>
      <c r="D43" s="85">
        <f>'3. Financials (Foreign)'!D43*1.327598</f>
        <v>2462.6942899999999</v>
      </c>
      <c r="E43" s="85">
        <f>'3. Financials (Foreign)'!E43*1.327598</f>
        <v>2547.660562</v>
      </c>
      <c r="F43" s="85">
        <f>'3. Financials (Foreign)'!F43*1.327598</f>
        <v>2668.4719800000003</v>
      </c>
      <c r="G43" s="53">
        <v>3036.7572088577349</v>
      </c>
      <c r="H43" s="51">
        <v>2839.2184076437215</v>
      </c>
      <c r="I43" s="51"/>
      <c r="J43" s="51"/>
      <c r="K43" s="51"/>
    </row>
    <row r="44" spans="1:11" hidden="1" outlineLevel="1" x14ac:dyDescent="0.15">
      <c r="A44" s="28" t="s">
        <v>97</v>
      </c>
      <c r="B44" s="51">
        <v>2070.011</v>
      </c>
      <c r="C44" s="52">
        <v>1929.5440000000001</v>
      </c>
      <c r="D44" s="85">
        <f>'3. Financials (Foreign)'!D44*1.327598</f>
        <v>1995.3797940000002</v>
      </c>
      <c r="E44" s="85">
        <f>'3. Financials (Foreign)'!E44*1.327598</f>
        <v>2076.0977524</v>
      </c>
      <c r="F44" s="85">
        <f>'3. Financials (Foreign)'!F44*1.327598</f>
        <v>2192.9263764000002</v>
      </c>
      <c r="G44" s="53">
        <v>2675.0902766714457</v>
      </c>
      <c r="H44" s="51">
        <v>2335.336790228168</v>
      </c>
      <c r="I44" s="51"/>
      <c r="J44" s="51"/>
      <c r="K44" s="51"/>
    </row>
    <row r="45" spans="1:11" hidden="1" outlineLevel="1" x14ac:dyDescent="0.15">
      <c r="A45" s="28" t="s">
        <v>108</v>
      </c>
      <c r="B45" s="51"/>
      <c r="C45" s="52"/>
      <c r="D45" s="85">
        <f>'3. Financials (Foreign)'!D45*1.327598</f>
        <v>29.074396199999999</v>
      </c>
      <c r="E45" s="85">
        <f>'3. Financials (Foreign)'!E45*1.327598</f>
        <v>29.074396199999999</v>
      </c>
      <c r="F45" s="85">
        <f>'3. Financials (Foreign)'!F45*1.327598</f>
        <v>29.074396199999999</v>
      </c>
      <c r="G45" s="53">
        <v>0</v>
      </c>
      <c r="H45" s="51">
        <v>0</v>
      </c>
      <c r="I45" s="51"/>
      <c r="J45" s="51"/>
      <c r="K45" s="51"/>
    </row>
    <row r="46" spans="1:11" hidden="1" outlineLevel="1" x14ac:dyDescent="0.15">
      <c r="A46" s="28" t="s">
        <v>109</v>
      </c>
      <c r="B46" s="51">
        <v>92.643000000000001</v>
      </c>
      <c r="C46" s="52">
        <v>98.709000000000003</v>
      </c>
      <c r="D46" s="85">
        <f>'3. Financials (Foreign)'!D46*1.327598</f>
        <v>55.095317000000001</v>
      </c>
      <c r="E46" s="85">
        <f>'3. Financials (Foreign)'!E46*1.327598</f>
        <v>55.095317000000001</v>
      </c>
      <c r="F46" s="85">
        <f>'3. Financials (Foreign)'!F46*1.327598</f>
        <v>55.095317000000001</v>
      </c>
      <c r="G46" s="53">
        <v>128.88720726461685</v>
      </c>
      <c r="H46" s="51">
        <v>448.19733857650471</v>
      </c>
      <c r="I46" s="51"/>
      <c r="J46" s="51"/>
      <c r="K46" s="51"/>
    </row>
    <row r="47" spans="1:11" hidden="1" outlineLevel="1" x14ac:dyDescent="0.15">
      <c r="A47" s="28" t="s">
        <v>122</v>
      </c>
      <c r="B47" s="51">
        <v>542.75699999999995</v>
      </c>
      <c r="C47" s="52">
        <v>762.07600000000002</v>
      </c>
      <c r="D47" s="85">
        <f>'3. Financials (Foreign)'!D47*1.327598</f>
        <v>654.50581399999999</v>
      </c>
      <c r="E47" s="85">
        <f>'3. Financials (Foreign)'!E47*1.327598</f>
        <v>681.05777399999999</v>
      </c>
      <c r="F47" s="85">
        <f>'3. Financials (Foreign)'!F47*1.327598</f>
        <v>718.23051800000007</v>
      </c>
      <c r="G47" s="53">
        <v>890.57670861876693</v>
      </c>
      <c r="H47" s="51">
        <v>1054.0509281569869</v>
      </c>
      <c r="I47" s="51"/>
      <c r="J47" s="51"/>
      <c r="K47" s="51"/>
    </row>
    <row r="48" spans="1:11" hidden="1" outlineLevel="1" x14ac:dyDescent="0.15">
      <c r="A48" s="28" t="s">
        <v>136</v>
      </c>
      <c r="B48" s="51">
        <v>1580.768</v>
      </c>
      <c r="C48" s="52">
        <v>1486.9469999999999</v>
      </c>
      <c r="D48" s="85">
        <f>'3. Financials (Foreign)'!D48*1.327598</f>
        <v>1905.1031300000002</v>
      </c>
      <c r="E48" s="85">
        <f>'3. Financials (Foreign)'!E48*1.327598</f>
        <v>1982.1038140000001</v>
      </c>
      <c r="F48" s="85">
        <f>'3. Financials (Foreign)'!F48*1.327598</f>
        <v>2093.622046</v>
      </c>
      <c r="G48" s="53">
        <v>2131.9459933089056</v>
      </c>
      <c r="H48" s="51">
        <v>1791.8563782279882</v>
      </c>
      <c r="I48" s="51"/>
      <c r="J48" s="51"/>
      <c r="K48" s="51"/>
    </row>
    <row r="49" spans="1:11" hidden="1" outlineLevel="1" x14ac:dyDescent="0.15">
      <c r="A49" s="28" t="s">
        <v>123</v>
      </c>
      <c r="B49" s="51">
        <v>1001.595</v>
      </c>
      <c r="C49" s="52">
        <v>980.55200000000002</v>
      </c>
      <c r="D49" s="85">
        <f>'3. Financials (Foreign)'!D49*1.327598</f>
        <v>1206.786582</v>
      </c>
      <c r="E49" s="85">
        <f>'3. Financials (Foreign)'!E49*1.327598</f>
        <v>1255.907708</v>
      </c>
      <c r="F49" s="85">
        <f>'3. Financials (Foreign)'!F49*1.327598</f>
        <v>1326.2704020000001</v>
      </c>
      <c r="G49" s="53">
        <v>1229.439488078169</v>
      </c>
      <c r="H49" s="51">
        <v>1183.5444095328053</v>
      </c>
      <c r="I49" s="51"/>
      <c r="J49" s="51"/>
      <c r="K49" s="51"/>
    </row>
    <row r="50" spans="1:11" collapsed="1" x14ac:dyDescent="0.15">
      <c r="A50" s="15" t="s">
        <v>55</v>
      </c>
      <c r="B50" s="16"/>
      <c r="C50" s="16"/>
      <c r="D50" s="87"/>
      <c r="E50" s="87"/>
      <c r="F50" s="94"/>
      <c r="G50" s="34"/>
      <c r="H50" s="16"/>
      <c r="I50" s="16"/>
      <c r="J50" s="16"/>
      <c r="K50" s="16"/>
    </row>
    <row r="51" spans="1:11" x14ac:dyDescent="0.15">
      <c r="A51" s="18" t="s">
        <v>98</v>
      </c>
      <c r="B51" s="54">
        <f>(B12-B30)/B10</f>
        <v>-1.6975178481479267E-2</v>
      </c>
      <c r="C51" s="55">
        <f t="shared" ref="C51:F51" si="7">(C12-C30)/C10</f>
        <v>-5.7979910068602855E-2</v>
      </c>
      <c r="D51" s="90">
        <f t="shared" si="7"/>
        <v>7.3995771670190289E-3</v>
      </c>
      <c r="E51" s="90">
        <f t="shared" si="7"/>
        <v>4.6024285154719936E-3</v>
      </c>
      <c r="F51" s="105">
        <f t="shared" si="7"/>
        <v>-6.2517238209064997E-3</v>
      </c>
      <c r="G51" s="56">
        <f>(G12-G30)/G10</f>
        <v>-3.0513365848724008E-2</v>
      </c>
      <c r="H51" s="54">
        <f>(H12-H30)/H10</f>
        <v>1.222785392079857E-3</v>
      </c>
      <c r="I51" s="54" t="e">
        <f>(I12-I30)/I10</f>
        <v>#DIV/0!</v>
      </c>
      <c r="J51" s="54" t="e">
        <f t="shared" ref="J51:K51" si="8">(J12-J30)/J10</f>
        <v>#DIV/0!</v>
      </c>
      <c r="K51" s="54" t="e">
        <f t="shared" si="8"/>
        <v>#DIV/0!</v>
      </c>
    </row>
    <row r="52" spans="1:11" ht="11.25" customHeight="1" outlineLevel="1" x14ac:dyDescent="0.15">
      <c r="A52" s="17" t="s">
        <v>105</v>
      </c>
      <c r="B52" s="57">
        <f>(B12-B30)/AVERAGE(B10:C10)</f>
        <v>-1.7117439193652401E-2</v>
      </c>
      <c r="C52" s="58">
        <f>(C12-C30)/AVERAGE(C10:G10)</f>
        <v>-2.5914256649955617E-2</v>
      </c>
      <c r="D52" s="91">
        <f t="shared" ref="D52:J52" si="9">(D12-D30)/AVERAGE(D10:E10)</f>
        <v>7.1167141114274104E-3</v>
      </c>
      <c r="E52" s="91">
        <f t="shared" si="9"/>
        <v>4.4573000142254255E-3</v>
      </c>
      <c r="F52" s="106">
        <f t="shared" si="9"/>
        <v>-6.1519073492774115E-3</v>
      </c>
      <c r="G52" s="59">
        <f t="shared" si="9"/>
        <v>-3.0139486708709213E-2</v>
      </c>
      <c r="H52" s="57">
        <f t="shared" si="9"/>
        <v>1.222785392079857E-3</v>
      </c>
      <c r="I52" s="57" t="e">
        <f t="shared" si="9"/>
        <v>#DIV/0!</v>
      </c>
      <c r="J52" s="57" t="e">
        <f t="shared" si="9"/>
        <v>#DIV/0!</v>
      </c>
      <c r="K52" s="57"/>
    </row>
    <row r="53" spans="1:11" ht="11.25" customHeight="1" outlineLevel="1" x14ac:dyDescent="0.15">
      <c r="A53" s="17" t="s">
        <v>101</v>
      </c>
      <c r="B53" s="48">
        <f>(B12-B30)/(AVERAGE(B13:C13))*-1</f>
        <v>-5.8206533519120605</v>
      </c>
      <c r="C53" s="49">
        <f>(C12-C30)/(AVERAGE(C13:G13))*-1</f>
        <v>-10.00116158154718</v>
      </c>
      <c r="D53" s="88">
        <f t="shared" ref="D53:F53" si="10">(D12-D30)/(AVERAGE(D13:E13))*-1</f>
        <v>2.5000000000000009</v>
      </c>
      <c r="E53" s="88">
        <f t="shared" si="10"/>
        <v>1.5986394557823131</v>
      </c>
      <c r="F53" s="104">
        <f t="shared" si="10"/>
        <v>-2.2576735091564886</v>
      </c>
      <c r="G53" s="50">
        <f>(G12-G30)/(AVERAGE(G13:H13))*-1</f>
        <v>-8.6029716571539208</v>
      </c>
      <c r="H53" s="48">
        <f>(H12-H30)/(AVERAGE(H13:I13))*-1</f>
        <v>0.56040397810500509</v>
      </c>
      <c r="I53" s="48" t="e">
        <f t="shared" ref="I53:J53" si="11">(I12-I30)/(AVERAGE(I13:J13))*-1</f>
        <v>#DIV/0!</v>
      </c>
      <c r="J53" s="48" t="e">
        <f t="shared" si="11"/>
        <v>#DIV/0!</v>
      </c>
      <c r="K53" s="48"/>
    </row>
    <row r="54" spans="1:11" x14ac:dyDescent="0.15">
      <c r="A54" s="18" t="s">
        <v>104</v>
      </c>
      <c r="B54" s="54">
        <f>B12/B10</f>
        <v>7.1286032904274732E-4</v>
      </c>
      <c r="C54" s="55">
        <f>C12/C10</f>
        <v>2.5378263401690006E-3</v>
      </c>
      <c r="D54" s="90">
        <f t="shared" ref="D54:F54" si="12">D12/D10</f>
        <v>2.4312896405919663E-2</v>
      </c>
      <c r="E54" s="90">
        <f t="shared" si="12"/>
        <v>2.1053662358010185E-2</v>
      </c>
      <c r="F54" s="105">
        <f t="shared" si="12"/>
        <v>1.0205019766479728E-2</v>
      </c>
      <c r="G54" s="56">
        <f>G12/G10</f>
        <v>7.3978865827174526E-3</v>
      </c>
      <c r="H54" s="54">
        <f>H12/H10</f>
        <v>2.176117263588306E-2</v>
      </c>
      <c r="I54" s="54" t="e">
        <f>I12/I10</f>
        <v>#DIV/0!</v>
      </c>
      <c r="J54" s="54" t="e">
        <f t="shared" ref="J54:K54" si="13">J12/J10</f>
        <v>#DIV/0!</v>
      </c>
      <c r="K54" s="54" t="e">
        <f t="shared" si="13"/>
        <v>#DIV/0!</v>
      </c>
    </row>
    <row r="55" spans="1:11" x14ac:dyDescent="0.15">
      <c r="A55" s="18" t="s">
        <v>54</v>
      </c>
      <c r="B55" s="51">
        <f>B12/B13*-1</f>
        <v>0.13711050126793364</v>
      </c>
      <c r="C55" s="52">
        <f t="shared" ref="C55:K55" si="14">C12/C13*-1</f>
        <v>3.9389965792474273</v>
      </c>
      <c r="D55" s="85">
        <f t="shared" si="14"/>
        <v>8.2142857142857153</v>
      </c>
      <c r="E55" s="85">
        <f t="shared" si="14"/>
        <v>7.6785714285714288</v>
      </c>
      <c r="F55" s="89">
        <f t="shared" si="14"/>
        <v>3.6038961038961039</v>
      </c>
      <c r="G55" s="53">
        <f t="shared" si="14"/>
        <v>2.8220387920785366</v>
      </c>
      <c r="H55" s="51">
        <f t="shared" si="14"/>
        <v>4.9865854598720221</v>
      </c>
      <c r="I55" s="51" t="e">
        <f t="shared" si="14"/>
        <v>#DIV/0!</v>
      </c>
      <c r="J55" s="51" t="e">
        <f t="shared" si="14"/>
        <v>#DIV/0!</v>
      </c>
      <c r="K55" s="51" t="e">
        <f t="shared" si="14"/>
        <v>#DIV/0!</v>
      </c>
    </row>
    <row r="56" spans="1:11" x14ac:dyDescent="0.15">
      <c r="A56" s="18" t="s">
        <v>53</v>
      </c>
      <c r="B56" s="51">
        <f>B37/B12</f>
        <v>139.3577400557383</v>
      </c>
      <c r="C56" s="52">
        <f>C37/C12</f>
        <v>38.68888406426413</v>
      </c>
      <c r="D56" s="85">
        <f t="shared" ref="D56:F56" si="15">D37/D12</f>
        <v>1.5652173913043477</v>
      </c>
      <c r="E56" s="85">
        <f t="shared" si="15"/>
        <v>2.2604651162790694</v>
      </c>
      <c r="F56" s="89">
        <f t="shared" si="15"/>
        <v>4.8288288288288284</v>
      </c>
      <c r="G56" s="53">
        <f>G37/G12</f>
        <v>6.8219023086737751</v>
      </c>
      <c r="H56" s="51">
        <f>H37/H12</f>
        <v>2.2877197322243004</v>
      </c>
      <c r="I56" s="51" t="e">
        <f>I37/I12</f>
        <v>#DIV/0!</v>
      </c>
      <c r="J56" s="51" t="e">
        <f t="shared" ref="J56:K56" si="16">J37/J12</f>
        <v>#DIV/0!</v>
      </c>
      <c r="K56" s="51" t="e">
        <f t="shared" si="16"/>
        <v>#DIV/0!</v>
      </c>
    </row>
    <row r="57" spans="1:11" ht="11.25" customHeight="1" x14ac:dyDescent="0.15">
      <c r="A57" s="17" t="s">
        <v>52</v>
      </c>
      <c r="B57" s="48">
        <f>(B37-B32)/B12</f>
        <v>25.150240689130939</v>
      </c>
      <c r="C57" s="49">
        <f>(C37-C32)/C12</f>
        <v>15.367925893761811</v>
      </c>
      <c r="D57" s="88">
        <f t="shared" ref="D57:F57" si="17">(D37-D32)/D12</f>
        <v>-0.26086956521739135</v>
      </c>
      <c r="E57" s="88">
        <f t="shared" si="17"/>
        <v>-6.9767441860465323E-2</v>
      </c>
      <c r="F57" s="104">
        <f t="shared" si="17"/>
        <v>0.25225225225225201</v>
      </c>
      <c r="G57" s="50">
        <f>(G37-G32)/G12</f>
        <v>0.72128602036640244</v>
      </c>
      <c r="H57" s="48">
        <f>(H37-H32)/H12</f>
        <v>1.1167808166231195</v>
      </c>
      <c r="I57" s="48" t="e">
        <f>(I37-I32)/I12</f>
        <v>#DIV/0!</v>
      </c>
      <c r="J57" s="48" t="e">
        <f t="shared" ref="J57:K57" si="18">(J37-J32)/J12</f>
        <v>#DIV/0!</v>
      </c>
      <c r="K57" s="48" t="e">
        <f t="shared" si="18"/>
        <v>#DIV/0!</v>
      </c>
    </row>
    <row r="58" spans="1:11" x14ac:dyDescent="0.15">
      <c r="A58" s="18" t="s">
        <v>51</v>
      </c>
      <c r="B58" s="51">
        <f>B38/B12</f>
        <v>146.74841651887488</v>
      </c>
      <c r="C58" s="52">
        <f>C38/C12</f>
        <v>41.071428571428704</v>
      </c>
      <c r="D58" s="85">
        <f t="shared" ref="D58:F58" si="19">D38/D12</f>
        <v>1.5652173913043477</v>
      </c>
      <c r="E58" s="85">
        <f t="shared" si="19"/>
        <v>2.2604651162790694</v>
      </c>
      <c r="F58" s="89">
        <f t="shared" si="19"/>
        <v>4.8288288288288284</v>
      </c>
      <c r="G58" s="53">
        <f>G38/G12</f>
        <v>6.8219023086737751</v>
      </c>
      <c r="H58" s="51">
        <f>H38/H12</f>
        <v>2.2877197322243004</v>
      </c>
      <c r="I58" s="51" t="e">
        <f>I38/I12</f>
        <v>#DIV/0!</v>
      </c>
      <c r="J58" s="51" t="e">
        <f t="shared" ref="J58:K58" si="20">J38/J12</f>
        <v>#DIV/0!</v>
      </c>
      <c r="K58" s="51" t="e">
        <f t="shared" si="20"/>
        <v>#DIV/0!</v>
      </c>
    </row>
    <row r="59" spans="1:11" ht="11.25" customHeight="1" x14ac:dyDescent="0.15">
      <c r="A59" s="17" t="s">
        <v>50</v>
      </c>
      <c r="B59" s="48">
        <f>(B38-B32)/B12</f>
        <v>32.540917152267497</v>
      </c>
      <c r="C59" s="49">
        <f>(C38-C32)/C12</f>
        <v>17.750470400926389</v>
      </c>
      <c r="D59" s="88">
        <f t="shared" ref="D59:F59" si="21">(D38-D32)/D12</f>
        <v>-0.26086956521739135</v>
      </c>
      <c r="E59" s="88">
        <f t="shared" si="21"/>
        <v>-6.9767441860465323E-2</v>
      </c>
      <c r="F59" s="104">
        <f t="shared" si="21"/>
        <v>0.25225225225225201</v>
      </c>
      <c r="G59" s="50">
        <f>(G38-G32)/G12</f>
        <v>0.72128602036640244</v>
      </c>
      <c r="H59" s="48">
        <f>(H38-H32)/H12</f>
        <v>1.1167808166231195</v>
      </c>
      <c r="I59" s="48" t="e">
        <f>(I38-I32)/I12</f>
        <v>#DIV/0!</v>
      </c>
      <c r="J59" s="48" t="e">
        <f t="shared" ref="J59:K59" si="22">(J38-J32)/J12</f>
        <v>#DIV/0!</v>
      </c>
      <c r="K59" s="48" t="e">
        <f t="shared" si="22"/>
        <v>#DIV/0!</v>
      </c>
    </row>
    <row r="60" spans="1:11" ht="11.25" hidden="1" customHeight="1" outlineLevel="1" x14ac:dyDescent="0.15">
      <c r="A60" s="17" t="s">
        <v>124</v>
      </c>
      <c r="B60" s="48">
        <f>(B32+B47+B49)/(B35+B48)</f>
        <v>1.1311800535107119</v>
      </c>
      <c r="C60" s="49">
        <f t="shared" ref="C60:K60" si="23">(C32+C47+C49)/(C35+C48)</f>
        <v>1.2775617102156578</v>
      </c>
      <c r="D60" s="88">
        <f t="shared" si="23"/>
        <v>1.2696864111498256</v>
      </c>
      <c r="E60" s="88">
        <f t="shared" si="23"/>
        <v>1.3127930341594107</v>
      </c>
      <c r="F60" s="104">
        <f t="shared" si="23"/>
        <v>1.2986683576410907</v>
      </c>
      <c r="G60" s="50">
        <f t="shared" si="23"/>
        <v>1.177336265143379</v>
      </c>
      <c r="H60" s="48">
        <f t="shared" si="23"/>
        <v>1.3092262474709209</v>
      </c>
      <c r="I60" s="48" t="e">
        <f t="shared" si="23"/>
        <v>#DIV/0!</v>
      </c>
      <c r="J60" s="48" t="e">
        <f t="shared" si="23"/>
        <v>#DIV/0!</v>
      </c>
      <c r="K60" s="48" t="e">
        <f t="shared" si="23"/>
        <v>#DIV/0!</v>
      </c>
    </row>
    <row r="61" spans="1:11" ht="11.25" hidden="1" customHeight="1" outlineLevel="1" x14ac:dyDescent="0.15">
      <c r="A61" s="17" t="s">
        <v>137</v>
      </c>
      <c r="B61" s="48">
        <f>(B32+B47+B49)/(B38+B48)</f>
        <v>0.92367767539018808</v>
      </c>
      <c r="C61" s="49">
        <f t="shared" ref="C61:K61" si="24">(C32+C47+C49)/(C38+C48)</f>
        <v>1.0050645616002556</v>
      </c>
      <c r="D61" s="88">
        <f t="shared" si="24"/>
        <v>1.0150417827298048</v>
      </c>
      <c r="E61" s="88">
        <f t="shared" si="24"/>
        <v>0.99039919151086409</v>
      </c>
      <c r="F61" s="104">
        <f t="shared" si="24"/>
        <v>0.96923805016564124</v>
      </c>
      <c r="G61" s="50">
        <f t="shared" si="24"/>
        <v>0.96828295092968519</v>
      </c>
      <c r="H61" s="48">
        <f>(H32+H47+H49)/(H38+H48)</f>
        <v>1.0291587580491686</v>
      </c>
      <c r="I61" s="48" t="e">
        <f t="shared" si="24"/>
        <v>#DIV/0!</v>
      </c>
      <c r="J61" s="48" t="e">
        <f t="shared" si="24"/>
        <v>#DIV/0!</v>
      </c>
      <c r="K61" s="48" t="e">
        <f t="shared" si="24"/>
        <v>#DIV/0!</v>
      </c>
    </row>
    <row r="62" spans="1:11" ht="11.25" hidden="1" customHeight="1" outlineLevel="1" x14ac:dyDescent="0.15">
      <c r="A62" s="17" t="s">
        <v>126</v>
      </c>
      <c r="B62" s="48">
        <f>((B32+B47+B49)*0.75)/(B35+B48)</f>
        <v>0.84838504013303395</v>
      </c>
      <c r="C62" s="49">
        <f t="shared" ref="C62:K62" si="25">((C32+C47+C49)*0.75)/(C35+C48)</f>
        <v>0.95817128266174334</v>
      </c>
      <c r="D62" s="88">
        <f t="shared" si="25"/>
        <v>0.95226480836236915</v>
      </c>
      <c r="E62" s="88">
        <f t="shared" si="25"/>
        <v>0.98459477561955799</v>
      </c>
      <c r="F62" s="104">
        <f t="shared" si="25"/>
        <v>0.97400126823081812</v>
      </c>
      <c r="G62" s="50">
        <f t="shared" si="25"/>
        <v>0.88300219885753417</v>
      </c>
      <c r="H62" s="48">
        <f t="shared" si="25"/>
        <v>0.98191968560319065</v>
      </c>
      <c r="I62" s="48" t="e">
        <f t="shared" si="25"/>
        <v>#DIV/0!</v>
      </c>
      <c r="J62" s="48" t="e">
        <f t="shared" si="25"/>
        <v>#DIV/0!</v>
      </c>
      <c r="K62" s="48" t="e">
        <f t="shared" si="25"/>
        <v>#DIV/0!</v>
      </c>
    </row>
    <row r="63" spans="1:11" ht="11.25" hidden="1" customHeight="1" outlineLevel="1" x14ac:dyDescent="0.15">
      <c r="A63" s="17" t="s">
        <v>138</v>
      </c>
      <c r="B63" s="48">
        <f>((B32+B47+B49)*0.75)/(B36+B48)</f>
        <v>0.7682153451393402</v>
      </c>
      <c r="C63" s="49">
        <f t="shared" ref="C63:K63" si="26">((C32+C47+C49)*0.75)/(C36+C48)</f>
        <v>0.81842867659532414</v>
      </c>
      <c r="D63" s="88">
        <f t="shared" si="26"/>
        <v>0.95226480836236915</v>
      </c>
      <c r="E63" s="88">
        <f t="shared" si="26"/>
        <v>0.98459477561955799</v>
      </c>
      <c r="F63" s="104">
        <f t="shared" si="26"/>
        <v>0.97400126823081812</v>
      </c>
      <c r="G63" s="50">
        <f t="shared" si="26"/>
        <v>0.79219911962310585</v>
      </c>
      <c r="H63" s="48">
        <f t="shared" si="26"/>
        <v>0.84272300469483574</v>
      </c>
      <c r="I63" s="48" t="e">
        <f t="shared" si="26"/>
        <v>#DIV/0!</v>
      </c>
      <c r="J63" s="48" t="e">
        <f t="shared" si="26"/>
        <v>#DIV/0!</v>
      </c>
      <c r="K63" s="48" t="e">
        <f t="shared" si="26"/>
        <v>#DIV/0!</v>
      </c>
    </row>
    <row r="64" spans="1:11" collapsed="1" x14ac:dyDescent="0.15">
      <c r="A64" s="18" t="s">
        <v>49</v>
      </c>
      <c r="B64" s="60">
        <f>B17/B38</f>
        <v>-0.11221547747299798</v>
      </c>
      <c r="C64" s="61">
        <f>C17/C38</f>
        <v>-5.7373683978679382E-2</v>
      </c>
      <c r="D64" s="92">
        <f t="shared" ref="D64:F64" si="27">D17/D38</f>
        <v>0.50019444444444439</v>
      </c>
      <c r="E64" s="92">
        <f t="shared" si="27"/>
        <v>0.37030864197530866</v>
      </c>
      <c r="F64" s="107">
        <f t="shared" si="27"/>
        <v>0.16026119402985073</v>
      </c>
      <c r="G64" s="62">
        <f>G17/G38</f>
        <v>-6.2655491839435362E-2</v>
      </c>
      <c r="H64" s="60">
        <f>H17/H38</f>
        <v>1.8859987024572235E-2</v>
      </c>
      <c r="I64" s="60" t="e">
        <f>I17/I38</f>
        <v>#DIV/0!</v>
      </c>
      <c r="J64" s="60" t="e">
        <f t="shared" ref="J64:K64" si="28">J17/J38</f>
        <v>#DIV/0!</v>
      </c>
      <c r="K64" s="60" t="e">
        <f t="shared" si="28"/>
        <v>#DIV/0!</v>
      </c>
    </row>
    <row r="65" spans="1:11" ht="11.25" customHeight="1" outlineLevel="1" x14ac:dyDescent="0.15">
      <c r="A65" s="17" t="s">
        <v>102</v>
      </c>
      <c r="B65" s="57">
        <f>B17/AVERAGE(B38:C38)</f>
        <v>-0.11335951186885269</v>
      </c>
      <c r="C65" s="58">
        <f>C17/AVERAGE(C38:G38)</f>
        <v>-5.1607425823341824E-2</v>
      </c>
      <c r="D65" s="91">
        <f t="shared" ref="D65:J65" si="29">D17/AVERAGE(D38:E38)</f>
        <v>0.42569739952718683</v>
      </c>
      <c r="E65" s="91">
        <f t="shared" si="29"/>
        <v>0.35219178082191782</v>
      </c>
      <c r="F65" s="106">
        <f t="shared" si="29"/>
        <v>0.15579233073443916</v>
      </c>
      <c r="G65" s="59">
        <f t="shared" si="29"/>
        <v>-6.2315360213108163E-2</v>
      </c>
      <c r="H65" s="57">
        <f t="shared" si="29"/>
        <v>1.8859987024572235E-2</v>
      </c>
      <c r="I65" s="57" t="e">
        <f t="shared" si="29"/>
        <v>#DIV/0!</v>
      </c>
      <c r="J65" s="57" t="e">
        <f t="shared" si="29"/>
        <v>#DIV/0!</v>
      </c>
      <c r="K65" s="57"/>
    </row>
    <row r="66" spans="1:11" x14ac:dyDescent="0.15">
      <c r="A66" s="18" t="s">
        <v>48</v>
      </c>
      <c r="B66" s="60">
        <f>B22/B38</f>
        <v>-4.6074348774895718E-2</v>
      </c>
      <c r="C66" s="61">
        <f>C22/C38</f>
        <v>0.10807101008766132</v>
      </c>
      <c r="D66" s="92">
        <f t="shared" ref="D66:F66" si="30">D22/D38</f>
        <v>0.12277777777777778</v>
      </c>
      <c r="E66" s="92">
        <f t="shared" si="30"/>
        <v>8.6831275720164622E-2</v>
      </c>
      <c r="F66" s="107">
        <f t="shared" si="30"/>
        <v>9.6828358208955242E-3</v>
      </c>
      <c r="G66" s="62">
        <f>G22/G38</f>
        <v>0.37914777238641378</v>
      </c>
      <c r="H66" s="60">
        <f>H22/H38</f>
        <v>0.71490552266645035</v>
      </c>
      <c r="I66" s="60" t="e">
        <f>I22/I38</f>
        <v>#DIV/0!</v>
      </c>
      <c r="J66" s="60" t="e">
        <f t="shared" ref="J66:K66" si="31">J22/J38</f>
        <v>#DIV/0!</v>
      </c>
      <c r="K66" s="60" t="e">
        <f t="shared" si="31"/>
        <v>#DIV/0!</v>
      </c>
    </row>
    <row r="67" spans="1:11" ht="11.25" customHeight="1" outlineLevel="1" x14ac:dyDescent="0.15">
      <c r="A67" s="17" t="s">
        <v>100</v>
      </c>
      <c r="B67" s="57">
        <f t="shared" ref="B67" si="32">B22/(AVERAGE(B38:C38))</f>
        <v>-4.654407577648309E-2</v>
      </c>
      <c r="C67" s="58">
        <f>C22/(AVERAGE(C38:G38))</f>
        <v>9.7209491355395167E-2</v>
      </c>
      <c r="D67" s="91">
        <f t="shared" ref="D67:F67" si="33">D22/(AVERAGE(D38:E38))</f>
        <v>0.10449172576832154</v>
      </c>
      <c r="E67" s="91">
        <f t="shared" si="33"/>
        <v>8.2583170254403149E-2</v>
      </c>
      <c r="F67" s="106">
        <f t="shared" si="33"/>
        <v>9.4128311584602952E-3</v>
      </c>
      <c r="G67" s="59">
        <f>G22/(AVERAGE(G38:H38))</f>
        <v>0.3770895306480741</v>
      </c>
      <c r="H67" s="57">
        <f>H22/(AVERAGE(H38:I38))</f>
        <v>0.71490552266645035</v>
      </c>
      <c r="I67" s="57" t="e">
        <f t="shared" ref="I67:J67" si="34">I22/(AVERAGE(I38:J38))</f>
        <v>#DIV/0!</v>
      </c>
      <c r="J67" s="57" t="e">
        <f t="shared" si="34"/>
        <v>#DIV/0!</v>
      </c>
      <c r="K67" s="57"/>
    </row>
    <row r="68" spans="1:11" x14ac:dyDescent="0.15">
      <c r="A68" s="18" t="s">
        <v>94</v>
      </c>
      <c r="B68" s="60">
        <f>-B26/B22</f>
        <v>0</v>
      </c>
      <c r="C68" s="61">
        <f t="shared" ref="C68:K68" si="35">-C26/C22</f>
        <v>0</v>
      </c>
      <c r="D68" s="92">
        <f t="shared" si="35"/>
        <v>0</v>
      </c>
      <c r="E68" s="92">
        <f t="shared" si="35"/>
        <v>0</v>
      </c>
      <c r="F68" s="107">
        <f t="shared" si="35"/>
        <v>0</v>
      </c>
      <c r="G68" s="62">
        <f t="shared" si="35"/>
        <v>0</v>
      </c>
      <c r="H68" s="60">
        <f t="shared" si="35"/>
        <v>0</v>
      </c>
      <c r="I68" s="60" t="e">
        <f t="shared" si="35"/>
        <v>#DIV/0!</v>
      </c>
      <c r="J68" s="60" t="e">
        <f t="shared" si="35"/>
        <v>#DIV/0!</v>
      </c>
      <c r="K68" s="60" t="e">
        <f t="shared" si="35"/>
        <v>#DIV/0!</v>
      </c>
    </row>
    <row r="69" spans="1:11" x14ac:dyDescent="0.15">
      <c r="A69" s="18" t="s">
        <v>47</v>
      </c>
      <c r="B69" s="60">
        <f>B38/B40</f>
        <v>0.4085194260009225</v>
      </c>
      <c r="C69" s="61">
        <f>C38/C40</f>
        <v>0.3642643820326405</v>
      </c>
      <c r="D69" s="92">
        <f t="shared" ref="D69:F69" si="36">D38/D40</f>
        <v>0.27169811320754716</v>
      </c>
      <c r="E69" s="92">
        <f t="shared" si="36"/>
        <v>0.35422740524781338</v>
      </c>
      <c r="F69" s="107">
        <f t="shared" si="36"/>
        <v>0.37144837144837145</v>
      </c>
      <c r="G69" s="62">
        <f>G38/G40</f>
        <v>0.38089266320418941</v>
      </c>
      <c r="H69" s="60">
        <f>H38/H40</f>
        <v>0.33092509949200088</v>
      </c>
      <c r="I69" s="60" t="e">
        <f>I38/I40</f>
        <v>#DIV/0!</v>
      </c>
      <c r="J69" s="60" t="e">
        <f t="shared" ref="J69:K69" si="37">J38/J40</f>
        <v>#DIV/0!</v>
      </c>
      <c r="K69" s="60" t="e">
        <f t="shared" si="37"/>
        <v>#DIV/0!</v>
      </c>
    </row>
    <row r="70" spans="1:11" x14ac:dyDescent="0.15">
      <c r="A70" s="15" t="s">
        <v>46</v>
      </c>
      <c r="B70" s="16"/>
      <c r="C70" s="16"/>
      <c r="D70" s="93"/>
      <c r="E70" s="87"/>
      <c r="F70" s="94"/>
      <c r="G70" s="83"/>
      <c r="H70" s="16"/>
      <c r="I70" s="16"/>
      <c r="J70" s="16"/>
      <c r="K70" s="16"/>
    </row>
    <row r="71" spans="1:11" x14ac:dyDescent="0.15">
      <c r="A71" s="18" t="s">
        <v>45</v>
      </c>
      <c r="B71" s="60">
        <f>B43/B34</f>
        <v>0.5964144687094165</v>
      </c>
      <c r="C71" s="61">
        <f t="shared" ref="C71:K71" si="38">C43/C34</f>
        <v>0.58571196630506406</v>
      </c>
      <c r="D71" s="95" t="s">
        <v>77</v>
      </c>
      <c r="E71" s="96" t="s">
        <v>77</v>
      </c>
      <c r="F71" s="97" t="s">
        <v>77</v>
      </c>
      <c r="G71" s="62">
        <f t="shared" si="38"/>
        <v>0.59981340128086036</v>
      </c>
      <c r="H71" s="60">
        <f t="shared" si="38"/>
        <v>0.56076033992551111</v>
      </c>
      <c r="I71" s="60" t="e">
        <f t="shared" si="38"/>
        <v>#DIV/0!</v>
      </c>
      <c r="J71" s="60" t="e">
        <f t="shared" si="38"/>
        <v>#DIV/0!</v>
      </c>
      <c r="K71" s="60" t="e">
        <f t="shared" si="38"/>
        <v>#DIV/0!</v>
      </c>
    </row>
    <row r="72" spans="1:11" x14ac:dyDescent="0.15">
      <c r="A72" s="18" t="s">
        <v>44</v>
      </c>
      <c r="B72" s="51">
        <f>B43/B44</f>
        <v>1.0706885132494466</v>
      </c>
      <c r="C72" s="52">
        <f t="shared" ref="C72:K72" si="39">C43/C44</f>
        <v>1.1554268780603085</v>
      </c>
      <c r="D72" s="85">
        <f t="shared" si="39"/>
        <v>1.2341982701264136</v>
      </c>
      <c r="E72" s="98">
        <f t="shared" si="39"/>
        <v>1.2271390203350812</v>
      </c>
      <c r="F72" s="99">
        <f t="shared" si="39"/>
        <v>1.2168543407192154</v>
      </c>
      <c r="G72" s="53">
        <f t="shared" si="39"/>
        <v>1.1351980287694452</v>
      </c>
      <c r="H72" s="51">
        <f t="shared" si="39"/>
        <v>1.2157640043714308</v>
      </c>
      <c r="I72" s="51" t="e">
        <f t="shared" si="39"/>
        <v>#DIV/0!</v>
      </c>
      <c r="J72" s="51" t="e">
        <f t="shared" si="39"/>
        <v>#DIV/0!</v>
      </c>
      <c r="K72" s="51" t="e">
        <f t="shared" si="39"/>
        <v>#DIV/0!</v>
      </c>
    </row>
    <row r="73" spans="1:11" x14ac:dyDescent="0.15">
      <c r="A73" s="15" t="s">
        <v>43</v>
      </c>
      <c r="B73" s="15"/>
      <c r="C73" s="15"/>
      <c r="D73" s="100"/>
      <c r="E73" s="100"/>
      <c r="F73" s="101"/>
      <c r="G73" s="84"/>
      <c r="H73" s="15"/>
      <c r="I73" s="15"/>
      <c r="J73" s="15"/>
      <c r="K73" s="15"/>
    </row>
    <row r="74" spans="1:11" x14ac:dyDescent="0.15">
      <c r="A74" s="18" t="s">
        <v>42</v>
      </c>
      <c r="B74" s="60">
        <f>B10/C10-1</f>
        <v>1.6902680108440871E-2</v>
      </c>
      <c r="C74" s="61"/>
      <c r="D74" s="92">
        <f t="shared" ref="D74:F74" si="40">D10/E10-1</f>
        <v>-7.3638856247551954E-2</v>
      </c>
      <c r="E74" s="92">
        <f t="shared" si="40"/>
        <v>-6.1138181483865073E-2</v>
      </c>
      <c r="F74" s="107">
        <f t="shared" si="40"/>
        <v>-3.143063478520125E-2</v>
      </c>
      <c r="G74" s="62">
        <f>G10/H10-1</f>
        <v>-2.4209290284783025E-2</v>
      </c>
      <c r="H74" s="60"/>
      <c r="I74" s="60" t="e">
        <f t="shared" ref="I74:J74" si="41">I10/J10-1</f>
        <v>#DIV/0!</v>
      </c>
      <c r="J74" s="60" t="e">
        <f t="shared" si="41"/>
        <v>#DIV/0!</v>
      </c>
      <c r="K74" s="60"/>
    </row>
    <row r="75" spans="1:11" x14ac:dyDescent="0.15">
      <c r="A75" s="18" t="s">
        <v>135</v>
      </c>
      <c r="B75" s="60">
        <f>B11/B10</f>
        <v>1.5106245447546122E-2</v>
      </c>
      <c r="C75" s="61">
        <f>C11/C10</f>
        <v>1.8139636281623361E-2</v>
      </c>
      <c r="D75" s="92">
        <f t="shared" ref="D75:F75" si="42">D11/D10</f>
        <v>7.1141649048625799E-2</v>
      </c>
      <c r="E75" s="92">
        <f t="shared" si="42"/>
        <v>6.9526047786917358E-2</v>
      </c>
      <c r="F75" s="107">
        <f t="shared" si="42"/>
        <v>6.3528546474211633E-2</v>
      </c>
      <c r="G75" s="62">
        <f>G11/G10</f>
        <v>1.8060966179410713E-2</v>
      </c>
      <c r="H75" s="60">
        <f>H11/H10</f>
        <v>2.6246148936741091E-2</v>
      </c>
      <c r="I75" s="60" t="e">
        <f t="shared" ref="I75:K75" si="43">I11/I10</f>
        <v>#DIV/0!</v>
      </c>
      <c r="J75" s="60" t="e">
        <f t="shared" si="43"/>
        <v>#DIV/0!</v>
      </c>
      <c r="K75" s="60" t="e">
        <f t="shared" si="43"/>
        <v>#DIV/0!</v>
      </c>
    </row>
    <row r="76" spans="1:11" x14ac:dyDescent="0.15">
      <c r="A76" s="18" t="s">
        <v>91</v>
      </c>
      <c r="B76" s="60">
        <f>B14/B10</f>
        <v>-1.5051340572950427E-2</v>
      </c>
      <c r="C76" s="61">
        <f t="shared" ref="C76:K76" si="44">C14/C10</f>
        <v>-3.6963042100404846E-2</v>
      </c>
      <c r="D76" s="92">
        <f t="shared" si="44"/>
        <v>2.1353065539112047E-3</v>
      </c>
      <c r="E76" s="92">
        <f t="shared" si="44"/>
        <v>3.5742264003133569E-4</v>
      </c>
      <c r="F76" s="107">
        <f t="shared" si="44"/>
        <v>-7.9893352946584541E-3</v>
      </c>
      <c r="G76" s="62">
        <f t="shared" si="44"/>
        <v>-2.4138991006560664E-2</v>
      </c>
      <c r="H76" s="60">
        <f t="shared" si="44"/>
        <v>-7.4500920958085739E-3</v>
      </c>
      <c r="I76" s="60" t="e">
        <f t="shared" si="44"/>
        <v>#DIV/0!</v>
      </c>
      <c r="J76" s="60" t="e">
        <f t="shared" si="44"/>
        <v>#DIV/0!</v>
      </c>
      <c r="K76" s="60" t="e">
        <f t="shared" si="44"/>
        <v>#DIV/0!</v>
      </c>
    </row>
    <row r="77" spans="1:11" x14ac:dyDescent="0.15">
      <c r="A77" s="18" t="s">
        <v>92</v>
      </c>
      <c r="B77" s="60">
        <f>B10/B34</f>
        <v>1.4899615241992821</v>
      </c>
      <c r="C77" s="61">
        <f t="shared" ref="C77:K77" si="45">C10/C34</f>
        <v>1.4304419307753178</v>
      </c>
      <c r="D77" s="95" t="s">
        <v>77</v>
      </c>
      <c r="E77" s="95" t="s">
        <v>77</v>
      </c>
      <c r="F77" s="108" t="s">
        <v>77</v>
      </c>
      <c r="G77" s="62">
        <f t="shared" si="45"/>
        <v>2.9447679853657935</v>
      </c>
      <c r="H77" s="60">
        <f t="shared" si="45"/>
        <v>3.0176356283195451</v>
      </c>
      <c r="I77" s="60" t="e">
        <f t="shared" si="45"/>
        <v>#DIV/0!</v>
      </c>
      <c r="J77" s="60" t="e">
        <f t="shared" si="45"/>
        <v>#DIV/0!</v>
      </c>
      <c r="K77" s="60" t="e">
        <f t="shared" si="45"/>
        <v>#DIV/0!</v>
      </c>
    </row>
    <row r="78" spans="1:11" x14ac:dyDescent="0.15">
      <c r="A78" s="18" t="s">
        <v>93</v>
      </c>
      <c r="B78" s="51">
        <f>B34/B39</f>
        <v>4.4311790953297416</v>
      </c>
      <c r="C78" s="52">
        <f t="shared" ref="C78:K78" si="46">C34/C39</f>
        <v>3.8429808637849603</v>
      </c>
      <c r="D78" s="95" t="s">
        <v>77</v>
      </c>
      <c r="E78" s="95" t="s">
        <v>77</v>
      </c>
      <c r="F78" s="108" t="s">
        <v>77</v>
      </c>
      <c r="G78" s="53">
        <f t="shared" si="46"/>
        <v>4.1397337391798974</v>
      </c>
      <c r="H78" s="51">
        <f t="shared" si="46"/>
        <v>3.2923277217811013</v>
      </c>
      <c r="I78" s="51" t="e">
        <f t="shared" si="46"/>
        <v>#DIV/0!</v>
      </c>
      <c r="J78" s="51" t="e">
        <f t="shared" si="46"/>
        <v>#DIV/0!</v>
      </c>
      <c r="K78" s="51" t="e">
        <f t="shared" si="46"/>
        <v>#DIV/0!</v>
      </c>
    </row>
    <row r="79" spans="1:11" x14ac:dyDescent="0.15">
      <c r="A79" s="18" t="s">
        <v>41</v>
      </c>
      <c r="B79" s="60">
        <f>B14/B39</f>
        <v>-9.9373260547610032E-2</v>
      </c>
      <c r="C79" s="61">
        <f>C14/C39</f>
        <v>-0.20319179224576417</v>
      </c>
      <c r="D79" s="95">
        <f t="shared" ref="D79:F79" si="47">D14/D39</f>
        <v>2.093264248704663E-2</v>
      </c>
      <c r="E79" s="95">
        <f t="shared" si="47"/>
        <v>4.1196388261851014E-3</v>
      </c>
      <c r="F79" s="108">
        <f t="shared" si="47"/>
        <v>-9.5810363836824702E-2</v>
      </c>
      <c r="G79" s="62">
        <f>G14/G39</f>
        <v>-0.29426770675704134</v>
      </c>
      <c r="H79" s="60">
        <f>H14/H39</f>
        <v>-7.4017003454505639E-2</v>
      </c>
      <c r="I79" s="60" t="e">
        <f>I14/I39</f>
        <v>#DIV/0!</v>
      </c>
      <c r="J79" s="60" t="e">
        <f t="shared" ref="J79:K79" si="48">J14/J39</f>
        <v>#DIV/0!</v>
      </c>
      <c r="K79" s="60" t="e">
        <f t="shared" si="48"/>
        <v>#DIV/0!</v>
      </c>
    </row>
    <row r="80" spans="1:11" x14ac:dyDescent="0.15">
      <c r="A80" s="18" t="s">
        <v>40</v>
      </c>
      <c r="B80" s="60">
        <f>B14/B34</f>
        <v>-2.2425918341315715E-2</v>
      </c>
      <c r="C80" s="61">
        <f>C14/C34</f>
        <v>-5.2873485309432464E-2</v>
      </c>
      <c r="D80" s="95" t="s">
        <v>77</v>
      </c>
      <c r="E80" s="95" t="s">
        <v>77</v>
      </c>
      <c r="F80" s="108" t="s">
        <v>77</v>
      </c>
      <c r="G80" s="62">
        <f>G14/G34</f>
        <v>-7.1083727915152647E-2</v>
      </c>
      <c r="H80" s="60">
        <f>H14/H34</f>
        <v>-2.2481663342573784E-2</v>
      </c>
      <c r="I80" s="60" t="e">
        <f>I14/I34</f>
        <v>#DIV/0!</v>
      </c>
      <c r="J80" s="60" t="e">
        <f t="shared" ref="J80:K80" si="49">J14/J34</f>
        <v>#DIV/0!</v>
      </c>
      <c r="K80" s="60" t="e">
        <f t="shared" si="49"/>
        <v>#DIV/0!</v>
      </c>
    </row>
    <row r="81" spans="1:11" x14ac:dyDescent="0.15">
      <c r="A81" s="18" t="s">
        <v>110</v>
      </c>
      <c r="B81" s="60">
        <f t="shared" ref="B81:C81" si="50">B14/(B34-B45-B46)</f>
        <v>-2.2999294320702954E-2</v>
      </c>
      <c r="C81" s="61">
        <f t="shared" si="50"/>
        <v>-5.4281128436415339E-2</v>
      </c>
      <c r="D81" s="95" t="s">
        <v>77</v>
      </c>
      <c r="E81" s="95" t="s">
        <v>77</v>
      </c>
      <c r="F81" s="108" t="s">
        <v>77</v>
      </c>
      <c r="G81" s="62">
        <f>G14/(G34-G45-G46)</f>
        <v>-7.2940614263942355E-2</v>
      </c>
      <c r="H81" s="60">
        <f t="shared" ref="H81:K81" si="51">H14/(H34-H45-H46)</f>
        <v>-2.4665045089950165E-2</v>
      </c>
      <c r="I81" s="60" t="e">
        <f t="shared" si="51"/>
        <v>#DIV/0!</v>
      </c>
      <c r="J81" s="60" t="e">
        <f t="shared" si="51"/>
        <v>#DIV/0!</v>
      </c>
      <c r="K81" s="60" t="e">
        <f t="shared" si="51"/>
        <v>#DIV/0!</v>
      </c>
    </row>
    <row r="82" spans="1:11" x14ac:dyDescent="0.15">
      <c r="A82" s="18" t="s">
        <v>39</v>
      </c>
      <c r="B82" s="60">
        <f>B37/B34</f>
        <v>0.14801665831562211</v>
      </c>
      <c r="C82" s="61">
        <f>C37/C34</f>
        <v>0.14044889801039728</v>
      </c>
      <c r="D82" s="95" t="s">
        <v>77</v>
      </c>
      <c r="E82" s="95" t="s">
        <v>77</v>
      </c>
      <c r="F82" s="108" t="s">
        <v>77</v>
      </c>
      <c r="G82" s="62">
        <f>G37/G34</f>
        <v>0.14861554816258216</v>
      </c>
      <c r="H82" s="60">
        <f>H37/H34</f>
        <v>0.15022835477453614</v>
      </c>
      <c r="I82" s="60" t="e">
        <f>I37/I34</f>
        <v>#DIV/0!</v>
      </c>
      <c r="J82" s="60" t="e">
        <f t="shared" ref="J82:K82" si="52">J37/J34</f>
        <v>#DIV/0!</v>
      </c>
      <c r="K82" s="60" t="e">
        <f t="shared" si="52"/>
        <v>#DIV/0!</v>
      </c>
    </row>
    <row r="85" spans="1:11" x14ac:dyDescent="0.15">
      <c r="A85" s="32" t="s">
        <v>129</v>
      </c>
    </row>
    <row r="86" spans="1:11" x14ac:dyDescent="0.15">
      <c r="A86" s="32" t="s">
        <v>128</v>
      </c>
    </row>
  </sheetData>
  <mergeCells count="3">
    <mergeCell ref="D9:F9"/>
    <mergeCell ref="D16:F16"/>
    <mergeCell ref="D31:F31"/>
  </mergeCells>
  <pageMargins left="0.7" right="0.7" top="0.75" bottom="0.75" header="0.3" footer="0.3"/>
  <pageSetup paperSize="9" scale="65" orientation="portrait" r:id="rId1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86"/>
  <sheetViews>
    <sheetView view="pageBreakPreview" topLeftCell="A16" zoomScaleNormal="100" zoomScaleSheetLayoutView="100" workbookViewId="0">
      <selection activeCell="F46" sqref="F46"/>
    </sheetView>
  </sheetViews>
  <sheetFormatPr baseColWidth="10" defaultColWidth="9.1640625" defaultRowHeight="14" outlineLevelRow="1" outlineLevelCol="1" x14ac:dyDescent="0.15"/>
  <cols>
    <col min="1" max="1" width="41" style="18" customWidth="1"/>
    <col min="2" max="3" width="11" style="18" customWidth="1" outlineLevel="1"/>
    <col min="4" max="8" width="11" style="18" customWidth="1"/>
    <col min="9" max="9" width="9.1640625" style="18"/>
    <col min="10" max="10" width="20" style="18" customWidth="1"/>
    <col min="11" max="15" width="10.83203125" style="18" customWidth="1"/>
    <col min="16" max="16384" width="9.1640625" style="18"/>
  </cols>
  <sheetData>
    <row r="1" spans="1:15" ht="10.5" customHeight="1" x14ac:dyDescent="0.15">
      <c r="A1" s="28" t="s">
        <v>118</v>
      </c>
      <c r="B1" s="31" t="str">
        <f>Cover!A9</f>
        <v>Y</v>
      </c>
      <c r="C1" s="31" t="str">
        <f>Cover!B9</f>
        <v>Y</v>
      </c>
      <c r="D1" s="33" t="str">
        <f>Cover!C9</f>
        <v>Y</v>
      </c>
      <c r="E1" s="31" t="str">
        <f>Cover!D9</f>
        <v>Y</v>
      </c>
      <c r="F1" s="31">
        <f>Cover!E9</f>
        <v>0</v>
      </c>
      <c r="G1" s="31">
        <f>Cover!F9</f>
        <v>0</v>
      </c>
      <c r="H1" s="31">
        <f>Cover!G9</f>
        <v>0</v>
      </c>
    </row>
    <row r="2" spans="1:15" ht="10.5" customHeight="1" x14ac:dyDescent="0.15">
      <c r="A2" s="28" t="s">
        <v>119</v>
      </c>
      <c r="B2" s="31" t="str">
        <f>Cover!A10</f>
        <v>PwC</v>
      </c>
      <c r="C2" s="31" t="str">
        <f>Cover!B10</f>
        <v>PwC</v>
      </c>
      <c r="D2" s="33" t="str">
        <f>Cover!C10</f>
        <v>PwC</v>
      </c>
      <c r="E2" s="31" t="str">
        <f>Cover!D10</f>
        <v>PwC</v>
      </c>
      <c r="F2" s="31" t="str">
        <f>Cover!E10</f>
        <v>Auditor</v>
      </c>
      <c r="G2" s="31" t="str">
        <f>Cover!F10</f>
        <v>Auditor</v>
      </c>
      <c r="H2" s="31" t="str">
        <f>Cover!G10</f>
        <v>Auditor</v>
      </c>
    </row>
    <row r="3" spans="1:15" ht="10.5" customHeight="1" x14ac:dyDescent="0.15">
      <c r="A3" s="28" t="s">
        <v>120</v>
      </c>
      <c r="B3" s="31" t="str">
        <f>Cover!A11</f>
        <v>Opinion</v>
      </c>
      <c r="C3" s="31" t="str">
        <f>Cover!B11</f>
        <v>Opinion</v>
      </c>
      <c r="D3" s="33" t="str">
        <f>Cover!C11</f>
        <v>Unqualified</v>
      </c>
      <c r="E3" s="31" t="str">
        <f>Cover!D11</f>
        <v>Unqualified</v>
      </c>
      <c r="F3" s="31" t="str">
        <f>Cover!E11</f>
        <v>Opinion</v>
      </c>
      <c r="G3" s="31" t="str">
        <f>Cover!F11</f>
        <v>Opinion</v>
      </c>
      <c r="H3" s="31" t="str">
        <f>Cover!G11</f>
        <v>Opinion</v>
      </c>
    </row>
    <row r="4" spans="1:15" ht="6.75" customHeight="1" outlineLevel="1" x14ac:dyDescent="0.15">
      <c r="A4" s="28"/>
      <c r="B4" s="31"/>
      <c r="C4" s="31"/>
      <c r="D4" s="33"/>
      <c r="E4" s="31"/>
      <c r="F4" s="31"/>
      <c r="G4" s="31"/>
      <c r="H4" s="31"/>
    </row>
    <row r="5" spans="1:15" ht="10.5" customHeight="1" outlineLevel="1" x14ac:dyDescent="0.15">
      <c r="A5" s="28" t="str">
        <f>Cover!A16</f>
        <v>Average exchange rate (EUR/USD)</v>
      </c>
      <c r="B5" s="31">
        <f>Cover!A17</f>
        <v>0.72943000000000002</v>
      </c>
      <c r="C5" s="31">
        <f>Cover!B17</f>
        <v>0.76166500000000004</v>
      </c>
      <c r="D5" s="33">
        <f>Cover!C17</f>
        <v>0.75324000000000002</v>
      </c>
      <c r="E5" s="31">
        <f>Cover!D17</f>
        <v>0.77815499999999993</v>
      </c>
      <c r="F5" s="31">
        <f>Cover!E17</f>
        <v>0.71886499999999998</v>
      </c>
      <c r="G5" s="31">
        <f>Cover!F17</f>
        <v>0.75475999999999999</v>
      </c>
      <c r="H5" s="31">
        <f>Cover!G17</f>
        <v>0.719055</v>
      </c>
    </row>
    <row r="6" spans="1:15" ht="10.5" customHeight="1" outlineLevel="1" x14ac:dyDescent="0.15">
      <c r="A6" s="28" t="s">
        <v>131</v>
      </c>
      <c r="B6" s="37">
        <f>B5/C5-1</f>
        <v>-4.2321755627474089E-2</v>
      </c>
      <c r="C6" s="31"/>
      <c r="D6" s="38">
        <f>D5/E5-1</f>
        <v>-3.201804267787256E-2</v>
      </c>
      <c r="E6" s="37">
        <f t="shared" ref="E6:G6" si="0">E5/F5-1</f>
        <v>8.2477238424460753E-2</v>
      </c>
      <c r="F6" s="37">
        <f t="shared" si="0"/>
        <v>-4.7558164184641538E-2</v>
      </c>
      <c r="G6" s="37">
        <f t="shared" si="0"/>
        <v>4.965545055663334E-2</v>
      </c>
      <c r="H6" s="31"/>
    </row>
    <row r="7" spans="1:15" ht="6.75" customHeight="1" x14ac:dyDescent="0.15">
      <c r="A7" s="28"/>
      <c r="B7" s="31"/>
      <c r="C7" s="31"/>
      <c r="D7" s="33"/>
      <c r="E7" s="31"/>
      <c r="F7" s="31"/>
      <c r="G7" s="31"/>
      <c r="H7" s="31"/>
    </row>
    <row r="8" spans="1:15" x14ac:dyDescent="0.15">
      <c r="A8" s="18" t="s">
        <v>130</v>
      </c>
      <c r="B8" s="44" t="str">
        <f>Cover!A8</f>
        <v>H1 2014</v>
      </c>
      <c r="C8" s="44" t="str">
        <f>Cover!B8</f>
        <v>H1 2013</v>
      </c>
      <c r="D8" s="45" t="str">
        <f>Cover!C8</f>
        <v>12/31/2013</v>
      </c>
      <c r="E8" s="44" t="str">
        <f>Cover!D8</f>
        <v>12/31/2012</v>
      </c>
      <c r="F8" s="44">
        <f>Cover!E8</f>
        <v>0</v>
      </c>
      <c r="G8" s="44">
        <f>Cover!F8</f>
        <v>0</v>
      </c>
      <c r="H8" s="44">
        <f>Cover!G8</f>
        <v>0</v>
      </c>
    </row>
    <row r="9" spans="1:15" x14ac:dyDescent="0.15">
      <c r="A9" s="15" t="s">
        <v>74</v>
      </c>
      <c r="B9" s="16"/>
      <c r="C9" s="16"/>
      <c r="D9" s="34"/>
      <c r="E9" s="16"/>
      <c r="F9" s="16"/>
      <c r="G9" s="16"/>
      <c r="H9" s="16"/>
      <c r="J9" s="15" t="s">
        <v>81</v>
      </c>
      <c r="K9" s="15"/>
      <c r="L9" s="15"/>
      <c r="M9" s="25"/>
      <c r="N9" s="15"/>
      <c r="O9" s="15"/>
    </row>
    <row r="10" spans="1:15" x14ac:dyDescent="0.15">
      <c r="A10" s="18" t="s">
        <v>106</v>
      </c>
      <c r="B10" s="51">
        <f>'3. Financials (Foreign)'!B10/Cover!A17</f>
        <v>7590.6516046776251</v>
      </c>
      <c r="C10" s="52">
        <f>'3. Financials (Foreign)'!C10/Cover!B17</f>
        <v>7148.5718787130818</v>
      </c>
      <c r="D10" s="53">
        <f>'3. Financials (Foreign)'!G10/Cover!C17</f>
        <v>14908.878976156337</v>
      </c>
      <c r="E10" s="51">
        <f>'3. Financials (Foreign)'!H10/Cover!D17</f>
        <v>15278.767083678702</v>
      </c>
      <c r="F10" s="51">
        <f>'3. Financials (Foreign)'!I10/Cover!E17</f>
        <v>0</v>
      </c>
      <c r="G10" s="51">
        <f>'3. Financials (Foreign)'!J10/Cover!F17</f>
        <v>0</v>
      </c>
      <c r="H10" s="51">
        <f>'3. Financials (Foreign)'!K10/Cover!G17</f>
        <v>0</v>
      </c>
      <c r="J10" s="18" t="s">
        <v>76</v>
      </c>
      <c r="K10" s="21"/>
      <c r="L10" s="21"/>
      <c r="M10" s="21"/>
      <c r="N10" s="21"/>
      <c r="O10" s="21"/>
    </row>
    <row r="11" spans="1:15" x14ac:dyDescent="0.15">
      <c r="A11" s="18" t="s">
        <v>73</v>
      </c>
      <c r="B11" s="51">
        <f>'3. Financials (Foreign)'!B11/Cover!A17</f>
        <v>114.66624624707005</v>
      </c>
      <c r="C11" s="52">
        <f>'3. Financials (Foreign)'!C11/Cover!B17</f>
        <v>129.67249381289628</v>
      </c>
      <c r="D11" s="53">
        <f>'3. Financials (Foreign)'!G11/Cover!C17</f>
        <v>269.26875896128701</v>
      </c>
      <c r="E11" s="51">
        <f>'3. Financials (Foreign)'!H11/Cover!D17</f>
        <v>401.00879644800852</v>
      </c>
      <c r="F11" s="51">
        <f>'3. Financials (Foreign)'!I11/Cover!E17</f>
        <v>0</v>
      </c>
      <c r="G11" s="51">
        <f>'3. Financials (Foreign)'!J11/Cover!F17</f>
        <v>0</v>
      </c>
      <c r="H11" s="51">
        <f>'3. Financials (Foreign)'!K11/Cover!G17</f>
        <v>0</v>
      </c>
      <c r="J11" s="26" t="s">
        <v>82</v>
      </c>
      <c r="K11" s="21"/>
      <c r="L11" s="21"/>
      <c r="M11" s="21"/>
      <c r="N11" s="21"/>
      <c r="O11" s="21"/>
    </row>
    <row r="12" spans="1:15" x14ac:dyDescent="0.15">
      <c r="A12" s="18" t="s">
        <v>72</v>
      </c>
      <c r="B12" s="51">
        <f>'3. Financials (Foreign)'!B12/Cover!A17</f>
        <v>5.4110744005593494</v>
      </c>
      <c r="C12" s="52">
        <f>'3. Financials (Foreign)'!C12/Cover!B17</f>
        <v>18.141834008389459</v>
      </c>
      <c r="D12" s="53">
        <f>'3. Financials (Foreign)'!G12/Cover!C17</f>
        <v>110.29419574106528</v>
      </c>
      <c r="E12" s="51">
        <f>'3. Financials (Foreign)'!H12/Cover!D17</f>
        <v>332.48388817137982</v>
      </c>
      <c r="F12" s="51">
        <f>'3. Financials (Foreign)'!I12/Cover!E17</f>
        <v>0</v>
      </c>
      <c r="G12" s="51">
        <f>'3. Financials (Foreign)'!J12/Cover!F17</f>
        <v>0</v>
      </c>
      <c r="H12" s="51">
        <f>'3. Financials (Foreign)'!K12/Cover!G17</f>
        <v>0</v>
      </c>
      <c r="J12" s="26" t="s">
        <v>83</v>
      </c>
      <c r="K12" s="21"/>
      <c r="L12" s="21"/>
      <c r="M12" s="21"/>
      <c r="N12" s="21"/>
      <c r="O12" s="21"/>
    </row>
    <row r="13" spans="1:15" x14ac:dyDescent="0.15">
      <c r="A13" s="18" t="s">
        <v>132</v>
      </c>
      <c r="B13" s="51">
        <f>'3. Financials (Foreign)'!B13/Cover!A17</f>
        <v>-39.465061760552764</v>
      </c>
      <c r="C13" s="52">
        <f>'3. Financials (Foreign)'!C13/Cover!B17</f>
        <v>-4.6056993560160899</v>
      </c>
      <c r="D13" s="53">
        <f>'3. Financials (Foreign)'!G13/Cover!C17</f>
        <v>-39.083160745579086</v>
      </c>
      <c r="E13" s="51">
        <f>'3. Financials (Foreign)'!H13/Cover!D17</f>
        <v>-66.675662303782687</v>
      </c>
      <c r="F13" s="51">
        <f>'3. Financials (Foreign)'!I13/Cover!E17</f>
        <v>0</v>
      </c>
      <c r="G13" s="51">
        <f>'3. Financials (Foreign)'!J13/Cover!F17</f>
        <v>0</v>
      </c>
      <c r="H13" s="51">
        <f>'3. Financials (Foreign)'!K13/Cover!G17</f>
        <v>0</v>
      </c>
      <c r="J13" s="26" t="s">
        <v>84</v>
      </c>
      <c r="K13" s="21"/>
      <c r="L13" s="21"/>
      <c r="M13" s="21"/>
      <c r="N13" s="21"/>
      <c r="O13" s="21"/>
    </row>
    <row r="14" spans="1:15" x14ac:dyDescent="0.15">
      <c r="A14" s="18" t="s">
        <v>0</v>
      </c>
      <c r="B14" s="51">
        <f>'3. Financials (Foreign)'!B14/Cover!A17</f>
        <v>-114.24948247261561</v>
      </c>
      <c r="C14" s="52">
        <f>'3. Financials (Foreign)'!C14/Cover!B17</f>
        <v>-264.23296331064182</v>
      </c>
      <c r="D14" s="53">
        <f>'3. Financials (Foreign)'!G14/Cover!C17</f>
        <v>-359.88529552333915</v>
      </c>
      <c r="E14" s="51">
        <f>'3. Financials (Foreign)'!H14/Cover!D17</f>
        <v>-113.82822188381492</v>
      </c>
      <c r="F14" s="51">
        <f>'3. Financials (Foreign)'!I14/Cover!E17</f>
        <v>0</v>
      </c>
      <c r="G14" s="51">
        <f>'3. Financials (Foreign)'!J14/Cover!F17</f>
        <v>0</v>
      </c>
      <c r="H14" s="51">
        <f>'3. Financials (Foreign)'!K14/Cover!G17</f>
        <v>0</v>
      </c>
      <c r="J14" s="26" t="s">
        <v>85</v>
      </c>
      <c r="K14" s="21"/>
      <c r="L14" s="21"/>
      <c r="M14" s="21"/>
      <c r="N14" s="21"/>
      <c r="O14" s="21"/>
    </row>
    <row r="15" spans="1:15" x14ac:dyDescent="0.15">
      <c r="A15" s="18" t="s">
        <v>103</v>
      </c>
      <c r="B15" s="51">
        <f>'3. Financials (Foreign)'!B15/Cover!A17</f>
        <v>16.039921582605594</v>
      </c>
      <c r="C15" s="52">
        <f>'3. Financials (Foreign)'!C15/Cover!B17</f>
        <v>18.959778905424301</v>
      </c>
      <c r="D15" s="53">
        <f>'3. Financials (Foreign)'!G15/Cover!C17</f>
        <v>-323.87021400881525</v>
      </c>
      <c r="E15" s="51">
        <f>'3. Financials (Foreign)'!H15/Cover!D17</f>
        <v>-106.2487550680777</v>
      </c>
      <c r="F15" s="51">
        <f>'3. Financials (Foreign)'!I15/Cover!E17</f>
        <v>0</v>
      </c>
      <c r="G15" s="51">
        <f>'3. Financials (Foreign)'!J15/Cover!F17</f>
        <v>0</v>
      </c>
      <c r="H15" s="51">
        <f>'3. Financials (Foreign)'!K15/Cover!G17</f>
        <v>0</v>
      </c>
      <c r="J15" s="26" t="s">
        <v>86</v>
      </c>
      <c r="K15" s="21"/>
      <c r="L15" s="21"/>
      <c r="M15" s="21"/>
      <c r="N15" s="21"/>
      <c r="O15" s="21"/>
    </row>
    <row r="16" spans="1:15" x14ac:dyDescent="0.15">
      <c r="A16" s="15" t="s">
        <v>71</v>
      </c>
      <c r="B16" s="16"/>
      <c r="C16" s="16"/>
      <c r="D16" s="34"/>
      <c r="E16" s="16"/>
      <c r="F16" s="16"/>
      <c r="G16" s="16"/>
      <c r="H16" s="16"/>
      <c r="J16" s="18" t="s">
        <v>87</v>
      </c>
      <c r="K16" s="21"/>
      <c r="L16" s="21"/>
      <c r="M16" s="21"/>
      <c r="N16" s="21"/>
      <c r="O16" s="21"/>
    </row>
    <row r="17" spans="1:15" x14ac:dyDescent="0.15">
      <c r="A17" s="18" t="s">
        <v>34</v>
      </c>
      <c r="B17" s="51">
        <f>'3. Financials (Foreign)'!B17/Cover!A$17</f>
        <v>-89.106562658514179</v>
      </c>
      <c r="C17" s="52">
        <f>'3. Financials (Foreign)'!C17/Cover!B$17</f>
        <v>-42.74976531677315</v>
      </c>
      <c r="D17" s="53">
        <f>'3. Financials (Foreign)'!G17/Cover!C$17</f>
        <v>-47.143008868355359</v>
      </c>
      <c r="E17" s="51">
        <f>'3. Financials (Foreign)'!H17/Cover!D$17</f>
        <v>14.345471017984863</v>
      </c>
      <c r="F17" s="51">
        <f>'3. Financials (Foreign)'!I17/Cover!E$17</f>
        <v>0</v>
      </c>
      <c r="G17" s="51">
        <f>'3. Financials (Foreign)'!J17/Cover!F$17</f>
        <v>0</v>
      </c>
      <c r="H17" s="51">
        <f>'3. Financials (Foreign)'!K17/Cover!G$17</f>
        <v>0</v>
      </c>
      <c r="J17" s="18" t="s">
        <v>88</v>
      </c>
      <c r="K17" s="21"/>
      <c r="L17" s="21"/>
      <c r="M17" s="21"/>
      <c r="N17" s="21"/>
      <c r="O17" s="21"/>
    </row>
    <row r="18" spans="1:15" ht="11.25" customHeight="1" x14ac:dyDescent="0.15">
      <c r="A18" s="17" t="s">
        <v>70</v>
      </c>
      <c r="B18" s="48">
        <f>'3. Financials (Foreign)'!B18/Cover!A$17</f>
        <v>107.1329668371194</v>
      </c>
      <c r="C18" s="49">
        <f>'3. Financials (Foreign)'!C18/Cover!B$17</f>
        <v>206.21795671325322</v>
      </c>
      <c r="D18" s="50">
        <f>'3. Financials (Foreign)'!G18/Cover!C$17</f>
        <v>476.96617280016989</v>
      </c>
      <c r="E18" s="48">
        <f>'3. Financials (Foreign)'!H18/Cover!D$17</f>
        <v>674.82313934884439</v>
      </c>
      <c r="F18" s="48">
        <f>'3. Financials (Foreign)'!I18/Cover!E$17</f>
        <v>0</v>
      </c>
      <c r="G18" s="48">
        <f>'3. Financials (Foreign)'!J18/Cover!F$17</f>
        <v>0</v>
      </c>
      <c r="H18" s="48">
        <f>'3. Financials (Foreign)'!K18/Cover!G$17</f>
        <v>0</v>
      </c>
      <c r="J18" s="24" t="s">
        <v>89</v>
      </c>
      <c r="K18" s="27"/>
      <c r="L18" s="27"/>
      <c r="M18" s="27"/>
      <c r="N18" s="27"/>
      <c r="O18" s="27"/>
    </row>
    <row r="19" spans="1:15" x14ac:dyDescent="0.15">
      <c r="A19" s="18" t="s">
        <v>23</v>
      </c>
      <c r="B19" s="51">
        <f>'3. Financials (Foreign)'!B19/Cover!A$17</f>
        <v>18.026404178605212</v>
      </c>
      <c r="C19" s="52">
        <f>'3. Financials (Foreign)'!C19/Cover!B$17</f>
        <v>163.46819139648008</v>
      </c>
      <c r="D19" s="53">
        <f>'3. Financials (Foreign)'!G19/Cover!C$17</f>
        <v>429.82316393181452</v>
      </c>
      <c r="E19" s="51">
        <f>'3. Financials (Foreign)'!H19/Cover!D$17</f>
        <v>689.16861036682928</v>
      </c>
      <c r="F19" s="51">
        <f>'3. Financials (Foreign)'!I19/Cover!E$17</f>
        <v>0</v>
      </c>
      <c r="G19" s="51">
        <f>'3. Financials (Foreign)'!J19/Cover!F$17</f>
        <v>0</v>
      </c>
      <c r="H19" s="51">
        <f>'3. Financials (Foreign)'!K19/Cover!G$17</f>
        <v>0</v>
      </c>
    </row>
    <row r="20" spans="1:15" x14ac:dyDescent="0.15">
      <c r="A20" s="18" t="s">
        <v>69</v>
      </c>
      <c r="B20" s="51">
        <f>'3. Financials (Foreign)'!B20/Cover!A$17</f>
        <v>-54.612505655100556</v>
      </c>
      <c r="C20" s="52">
        <f>'3. Financials (Foreign)'!C20/Cover!B$17</f>
        <v>-82.943288716167856</v>
      </c>
      <c r="D20" s="53">
        <f>'3. Financials (Foreign)'!G20/Cover!C$17</f>
        <v>-144.54622696617281</v>
      </c>
      <c r="E20" s="51">
        <f>'3. Financials (Foreign)'!H20/Cover!D$17</f>
        <v>-145.3900572508048</v>
      </c>
      <c r="F20" s="51">
        <f>'3. Financials (Foreign)'!I20/Cover!E$17</f>
        <v>0</v>
      </c>
      <c r="G20" s="51">
        <f>'3. Financials (Foreign)'!J20/Cover!F$17</f>
        <v>0</v>
      </c>
      <c r="H20" s="51">
        <f>'3. Financials (Foreign)'!K20/Cover!G$17</f>
        <v>0</v>
      </c>
    </row>
    <row r="21" spans="1:15" ht="11.25" customHeight="1" x14ac:dyDescent="0.15">
      <c r="A21" s="17" t="s">
        <v>68</v>
      </c>
      <c r="B21" s="48">
        <f>'3. Financials (Foreign)'!B21/Cover!A$17</f>
        <v>0</v>
      </c>
      <c r="C21" s="49">
        <f>'3. Financials (Foreign)'!C21/Cover!B$17</f>
        <v>0</v>
      </c>
      <c r="D21" s="50">
        <f>'3. Financials (Foreign)'!G21/Cover!C$17</f>
        <v>0</v>
      </c>
      <c r="E21" s="48">
        <f>'3. Financials (Foreign)'!H21/Cover!D$17</f>
        <v>0</v>
      </c>
      <c r="F21" s="48">
        <f>'3. Financials (Foreign)'!I21/Cover!E$17</f>
        <v>0</v>
      </c>
      <c r="G21" s="48">
        <f>'3. Financials (Foreign)'!J21/Cover!F$17</f>
        <v>0</v>
      </c>
      <c r="H21" s="48">
        <f>'3. Financials (Foreign)'!K21/Cover!G$17</f>
        <v>0</v>
      </c>
    </row>
    <row r="22" spans="1:15" x14ac:dyDescent="0.15">
      <c r="A22" s="18" t="s">
        <v>67</v>
      </c>
      <c r="B22" s="51">
        <f>'3. Financials (Foreign)'!B22/Cover!A$17</f>
        <v>-36.586101476495344</v>
      </c>
      <c r="C22" s="52">
        <f>'3. Financials (Foreign)'!C22/Cover!B$17</f>
        <v>80.524902680312209</v>
      </c>
      <c r="D22" s="53">
        <f>'3. Financials (Foreign)'!G22/Cover!C$17</f>
        <v>285.27693696564177</v>
      </c>
      <c r="E22" s="51">
        <f>'3. Financials (Foreign)'!H22/Cover!D$17</f>
        <v>543.77855311602445</v>
      </c>
      <c r="F22" s="51">
        <f>'3. Financials (Foreign)'!I22/Cover!E$17</f>
        <v>0</v>
      </c>
      <c r="G22" s="51">
        <f>'3. Financials (Foreign)'!J22/Cover!F$17</f>
        <v>0</v>
      </c>
      <c r="H22" s="51">
        <f>'3. Financials (Foreign)'!K22/Cover!G$17</f>
        <v>0</v>
      </c>
    </row>
    <row r="23" spans="1:15" ht="11.25" customHeight="1" outlineLevel="1" x14ac:dyDescent="0.15">
      <c r="A23" s="17" t="s">
        <v>111</v>
      </c>
      <c r="B23" s="48">
        <f>'3. Financials (Foreign)'!B23/Cover!A$17</f>
        <v>-89.106562658514179</v>
      </c>
      <c r="C23" s="49">
        <f>'3. Financials (Foreign)'!C23/Cover!B$17</f>
        <v>-42.74976531677315</v>
      </c>
      <c r="D23" s="50">
        <f>'3. Financials (Foreign)'!G23/Cover!C$17</f>
        <v>-47.143008868355359</v>
      </c>
      <c r="E23" s="48">
        <f>'3. Financials (Foreign)'!H23/Cover!D$17</f>
        <v>14.345471017984863</v>
      </c>
      <c r="F23" s="48">
        <f>'3. Financials (Foreign)'!I23/Cover!E$17</f>
        <v>0</v>
      </c>
      <c r="G23" s="48">
        <f>'3. Financials (Foreign)'!J23/Cover!F$17</f>
        <v>0</v>
      </c>
      <c r="H23" s="48">
        <f>'3. Financials (Foreign)'!K23/Cover!G$17</f>
        <v>0</v>
      </c>
    </row>
    <row r="24" spans="1:15" x14ac:dyDescent="0.15">
      <c r="A24" s="18" t="s">
        <v>66</v>
      </c>
      <c r="B24" s="51">
        <f>'3. Financials (Foreign)'!B24/Cover!A$17</f>
        <v>0</v>
      </c>
      <c r="C24" s="52">
        <f>'3. Financials (Foreign)'!C24/Cover!B$17</f>
        <v>0</v>
      </c>
      <c r="D24" s="53">
        <f>'3. Financials (Foreign)'!G24/Cover!C$17</f>
        <v>0</v>
      </c>
      <c r="E24" s="51">
        <f>'3. Financials (Foreign)'!H24/Cover!D$17</f>
        <v>0</v>
      </c>
      <c r="F24" s="51">
        <f>'3. Financials (Foreign)'!I24/Cover!E$17</f>
        <v>0</v>
      </c>
      <c r="G24" s="51">
        <f>'3. Financials (Foreign)'!J24/Cover!F$17</f>
        <v>0</v>
      </c>
      <c r="H24" s="51">
        <f>'3. Financials (Foreign)'!K24/Cover!G$17</f>
        <v>0</v>
      </c>
    </row>
    <row r="25" spans="1:15" x14ac:dyDescent="0.15">
      <c r="A25" s="18" t="s">
        <v>90</v>
      </c>
      <c r="B25" s="51">
        <f>'3. Financials (Foreign)'!B25/Cover!A$17</f>
        <v>5.7469531003660395</v>
      </c>
      <c r="C25" s="52">
        <f>'3. Financials (Foreign)'!C25/Cover!B$17</f>
        <v>23.317337674699502</v>
      </c>
      <c r="D25" s="53">
        <f>'3. Financials (Foreign)'!G25/Cover!C$17</f>
        <v>25.609367532260631</v>
      </c>
      <c r="E25" s="51">
        <f>'3. Financials (Foreign)'!H25/Cover!D$17</f>
        <v>9.6497484434335057</v>
      </c>
      <c r="F25" s="51">
        <f>'3. Financials (Foreign)'!I25/Cover!E$17</f>
        <v>0</v>
      </c>
      <c r="G25" s="51">
        <f>'3. Financials (Foreign)'!J25/Cover!F$17</f>
        <v>0</v>
      </c>
      <c r="H25" s="51">
        <f>'3. Financials (Foreign)'!K25/Cover!G$17</f>
        <v>0</v>
      </c>
    </row>
    <row r="26" spans="1:15" x14ac:dyDescent="0.15">
      <c r="A26" s="18" t="s">
        <v>65</v>
      </c>
      <c r="B26" s="51">
        <f>'3. Financials (Foreign)'!B26/Cover!A$17</f>
        <v>0</v>
      </c>
      <c r="C26" s="52">
        <f>'3. Financials (Foreign)'!C26/Cover!B$17</f>
        <v>0</v>
      </c>
      <c r="D26" s="53">
        <f>'3. Financials (Foreign)'!G26/Cover!C$17</f>
        <v>0</v>
      </c>
      <c r="E26" s="51">
        <f>'3. Financials (Foreign)'!H26/Cover!D$17</f>
        <v>0</v>
      </c>
      <c r="F26" s="51">
        <f>'3. Financials (Foreign)'!I26/Cover!E$17</f>
        <v>0</v>
      </c>
      <c r="G26" s="51">
        <f>'3. Financials (Foreign)'!J26/Cover!F$17</f>
        <v>0</v>
      </c>
      <c r="H26" s="51">
        <f>'3. Financials (Foreign)'!K26/Cover!G$17</f>
        <v>0</v>
      </c>
    </row>
    <row r="27" spans="1:15" x14ac:dyDescent="0.15">
      <c r="A27" s="18" t="s">
        <v>64</v>
      </c>
      <c r="B27" s="51">
        <f>'3. Financials (Foreign)'!B27/Cover!A$17</f>
        <v>0</v>
      </c>
      <c r="C27" s="52">
        <f>'3. Financials (Foreign)'!C27/Cover!B$17</f>
        <v>0</v>
      </c>
      <c r="D27" s="53">
        <f>'3. Financials (Foreign)'!G27/Cover!C$17</f>
        <v>-7.8899155647602353</v>
      </c>
      <c r="E27" s="51">
        <f>'3. Financials (Foreign)'!H27/Cover!D$17</f>
        <v>0</v>
      </c>
      <c r="F27" s="51">
        <f>'3. Financials (Foreign)'!I27/Cover!E$17</f>
        <v>0</v>
      </c>
      <c r="G27" s="51">
        <f>'3. Financials (Foreign)'!J27/Cover!F$17</f>
        <v>0</v>
      </c>
      <c r="H27" s="51">
        <f>'3. Financials (Foreign)'!K27/Cover!G$17</f>
        <v>0</v>
      </c>
    </row>
    <row r="28" spans="1:15" x14ac:dyDescent="0.15">
      <c r="A28" s="18" t="s">
        <v>63</v>
      </c>
      <c r="B28" s="51">
        <f>'3. Financials (Foreign)'!B28/Cover!A$17</f>
        <v>-70.587993364682021</v>
      </c>
      <c r="C28" s="52">
        <f>'3. Financials (Foreign)'!C28/Cover!B$17</f>
        <v>-118.35255657014565</v>
      </c>
      <c r="D28" s="53">
        <f>'3. Financials (Foreign)'!G28/Cover!C$17</f>
        <v>-64.484095374648192</v>
      </c>
      <c r="E28" s="51">
        <f>'3. Financials (Foreign)'!H28/Cover!D$17</f>
        <v>-407.90716502496298</v>
      </c>
      <c r="F28" s="51">
        <f>'3. Financials (Foreign)'!I28/Cover!E$17</f>
        <v>0</v>
      </c>
      <c r="G28" s="51">
        <f>'3. Financials (Foreign)'!J28/Cover!F$17</f>
        <v>0</v>
      </c>
      <c r="H28" s="51">
        <f>'3. Financials (Foreign)'!K28/Cover!G$17</f>
        <v>0</v>
      </c>
    </row>
    <row r="29" spans="1:15" x14ac:dyDescent="0.15">
      <c r="A29" s="18" t="s">
        <v>80</v>
      </c>
      <c r="B29" s="51">
        <f>'3. Financials (Foreign)'!B29/Cover!A$17</f>
        <v>0</v>
      </c>
      <c r="C29" s="52">
        <f>'3. Financials (Foreign)'!C29/Cover!B$17</f>
        <v>0</v>
      </c>
      <c r="D29" s="53">
        <f>'3. Financials (Foreign)'!G29/Cover!C$17</f>
        <v>0</v>
      </c>
      <c r="E29" s="51">
        <f>'3. Financials (Foreign)'!H29/Cover!D$17</f>
        <v>0</v>
      </c>
      <c r="F29" s="51">
        <f>'3. Financials (Foreign)'!I29/Cover!E$17</f>
        <v>0</v>
      </c>
      <c r="G29" s="51">
        <f>'3. Financials (Foreign)'!J29/Cover!F$17</f>
        <v>0</v>
      </c>
      <c r="H29" s="51">
        <f>'3. Financials (Foreign)'!K29/Cover!G$17</f>
        <v>0</v>
      </c>
    </row>
    <row r="30" spans="1:15" outlineLevel="1" x14ac:dyDescent="0.15">
      <c r="A30" s="28" t="s">
        <v>99</v>
      </c>
      <c r="B30" s="51">
        <f>'3. Financials (Foreign)'!B30/Cover!A$17</f>
        <v>134.26374018068904</v>
      </c>
      <c r="C30" s="52">
        <f>'3. Financials (Foreign)'!C30/Cover!B$17</f>
        <v>432.61538865511739</v>
      </c>
      <c r="D30" s="53">
        <f>'3. Financials (Foreign)'!G30/Cover!C$17</f>
        <v>565.21427433487338</v>
      </c>
      <c r="E30" s="51">
        <f>'3. Financials (Foreign)'!H30/Cover!D$17</f>
        <v>313.80123497246694</v>
      </c>
      <c r="F30" s="51">
        <f>'3. Financials (Foreign)'!I30/Cover!E$17</f>
        <v>0</v>
      </c>
      <c r="G30" s="51">
        <f>'3. Financials (Foreign)'!J30/Cover!F$17</f>
        <v>0</v>
      </c>
      <c r="H30" s="51">
        <f>'3. Financials (Foreign)'!K30/Cover!G$17</f>
        <v>0</v>
      </c>
    </row>
    <row r="31" spans="1:15" x14ac:dyDescent="0.15">
      <c r="A31" s="15" t="s">
        <v>62</v>
      </c>
      <c r="B31" s="16"/>
      <c r="C31" s="16"/>
      <c r="D31" s="34"/>
      <c r="E31" s="16"/>
      <c r="F31" s="16"/>
      <c r="G31" s="16"/>
      <c r="H31" s="16"/>
    </row>
    <row r="32" spans="1:15" x14ac:dyDescent="0.15">
      <c r="A32" s="18" t="s">
        <v>61</v>
      </c>
      <c r="B32" s="51">
        <f>'3. Financials (Foreign)'!B32/Cover!A$17</f>
        <v>617.98527617454727</v>
      </c>
      <c r="C32" s="52">
        <f>'3. Financials (Foreign)'!C32/Cover!B$17</f>
        <v>423.08495204584693</v>
      </c>
      <c r="D32" s="53">
        <f>'3. Financials (Foreign)'!G32/Cover!C$17</f>
        <v>672.86256704370453</v>
      </c>
      <c r="E32" s="51">
        <f>'3. Financials (Foreign)'!H32/Cover!D$17</f>
        <v>389.31832347025983</v>
      </c>
      <c r="F32" s="51">
        <f>'3. Financials (Foreign)'!I32/Cover!E$17</f>
        <v>0</v>
      </c>
      <c r="G32" s="51">
        <f>'3. Financials (Foreign)'!J32/Cover!F$17</f>
        <v>0</v>
      </c>
      <c r="H32" s="51">
        <f>'3. Financials (Foreign)'!K32/Cover!G$17</f>
        <v>0</v>
      </c>
    </row>
    <row r="33" spans="1:8" x14ac:dyDescent="0.15">
      <c r="A33" s="18" t="s">
        <v>114</v>
      </c>
      <c r="B33" s="51">
        <f>'3. Financials (Foreign)'!B33/Cover!A$17</f>
        <v>1582.1655265069985</v>
      </c>
      <c r="C33" s="52">
        <f>'3. Financials (Foreign)'!C33/Cover!B$17</f>
        <v>1665.2268385707628</v>
      </c>
      <c r="D33" s="53">
        <f>'3. Financials (Foreign)'!G33/Cover!C$17</f>
        <v>1616.2511284583929</v>
      </c>
      <c r="E33" s="51">
        <f>'3. Financials (Foreign)'!H33/Cover!D$17</f>
        <v>1656.1713283343295</v>
      </c>
      <c r="F33" s="51">
        <f>'3. Financials (Foreign)'!I33/Cover!E$17</f>
        <v>0</v>
      </c>
      <c r="G33" s="51">
        <f>'3. Financials (Foreign)'!J33/Cover!F$17</f>
        <v>0</v>
      </c>
      <c r="H33" s="51">
        <f>'3. Financials (Foreign)'!K33/Cover!G$17</f>
        <v>0</v>
      </c>
    </row>
    <row r="34" spans="1:8" x14ac:dyDescent="0.15">
      <c r="A34" s="18" t="s">
        <v>60</v>
      </c>
      <c r="B34" s="51">
        <f>'3. Financials (Foreign)'!B34/Cover!A$17</f>
        <v>5094.5286045268222</v>
      </c>
      <c r="C34" s="52">
        <f>'3. Financials (Foreign)'!C34/Cover!B$17</f>
        <v>4997.4568872141945</v>
      </c>
      <c r="D34" s="53">
        <f>'3. Financials (Foreign)'!G34/Cover!C$17</f>
        <v>5062.8365461207577</v>
      </c>
      <c r="E34" s="51">
        <f>'3. Financials (Foreign)'!H34/Cover!D$17</f>
        <v>5063.1583681914281</v>
      </c>
      <c r="F34" s="51">
        <f>'3. Financials (Foreign)'!I34/Cover!E$17</f>
        <v>0</v>
      </c>
      <c r="G34" s="51">
        <f>'3. Financials (Foreign)'!J34/Cover!F$17</f>
        <v>0</v>
      </c>
      <c r="H34" s="51">
        <f>'3. Financials (Foreign)'!K34/Cover!G$17</f>
        <v>0</v>
      </c>
    </row>
    <row r="35" spans="1:8" outlineLevel="1" x14ac:dyDescent="0.15">
      <c r="A35" s="28" t="s">
        <v>117</v>
      </c>
      <c r="B35" s="48">
        <f>'3. Financials (Foreign)'!B35/Cover!A$17</f>
        <v>250.86848635235734</v>
      </c>
      <c r="C35" s="49">
        <f>'3. Financials (Foreign)'!C35/Cover!B$17</f>
        <v>169.78199077022052</v>
      </c>
      <c r="D35" s="50">
        <f>'3. Financials (Foreign)'!G35/Cover!C$17</f>
        <v>240.25542987626784</v>
      </c>
      <c r="E35" s="48">
        <f>'3. Financials (Foreign)'!H35/Cover!D$17</f>
        <v>214.60634449434886</v>
      </c>
      <c r="F35" s="48">
        <f>'3. Financials (Foreign)'!I35/Cover!E$17</f>
        <v>0</v>
      </c>
      <c r="G35" s="48">
        <f>'3. Financials (Foreign)'!J35/Cover!F$17</f>
        <v>0</v>
      </c>
      <c r="H35" s="48">
        <f>'3. Financials (Foreign)'!K35/Cover!G$17</f>
        <v>0</v>
      </c>
    </row>
    <row r="36" spans="1:8" outlineLevel="1" x14ac:dyDescent="0.15">
      <c r="A36" s="28" t="s">
        <v>116</v>
      </c>
      <c r="B36" s="48">
        <f>'3. Financials (Foreign)'!B36/Cover!A$17</f>
        <v>503.20661338305246</v>
      </c>
      <c r="C36" s="49">
        <f>'3. Financials (Foreign)'!C36/Cover!B$17</f>
        <v>532.10532189348328</v>
      </c>
      <c r="D36" s="50">
        <f>'3. Financials (Foreign)'!G36/Cover!C$17</f>
        <v>512.16079868302268</v>
      </c>
      <c r="E36" s="48">
        <f>'3. Financials (Foreign)'!H36/Cover!D$17</f>
        <v>546.02360712197446</v>
      </c>
      <c r="F36" s="48">
        <f>'3. Financials (Foreign)'!I36/Cover!E$17</f>
        <v>0</v>
      </c>
      <c r="G36" s="48">
        <f>'3. Financials (Foreign)'!J36/Cover!F$17</f>
        <v>0</v>
      </c>
      <c r="H36" s="48">
        <f>'3. Financials (Foreign)'!K36/Cover!G$17</f>
        <v>0</v>
      </c>
    </row>
    <row r="37" spans="1:8" x14ac:dyDescent="0.15">
      <c r="A37" s="18" t="s">
        <v>59</v>
      </c>
      <c r="B37" s="51">
        <f>'3. Financials (Foreign)'!B37/Cover!A$17</f>
        <v>754.07509973540971</v>
      </c>
      <c r="C37" s="52">
        <f>'3. Financials (Foreign)'!C37/Cover!B$17</f>
        <v>701.88731266370394</v>
      </c>
      <c r="D37" s="53">
        <f>'3. Financials (Foreign)'!G37/Cover!C$17</f>
        <v>752.41622855929052</v>
      </c>
      <c r="E37" s="51">
        <f>'3. Financials (Foreign)'!H37/Cover!D$17</f>
        <v>760.6299516163233</v>
      </c>
      <c r="F37" s="51">
        <f>'3. Financials (Foreign)'!I37/Cover!E$17</f>
        <v>0</v>
      </c>
      <c r="G37" s="51">
        <f>'3. Financials (Foreign)'!J37/Cover!F$17</f>
        <v>0</v>
      </c>
      <c r="H37" s="51">
        <f>'3. Financials (Foreign)'!K37/Cover!G$17</f>
        <v>0</v>
      </c>
    </row>
    <row r="38" spans="1:8" ht="11.25" customHeight="1" x14ac:dyDescent="0.15">
      <c r="A38" s="17" t="s">
        <v>115</v>
      </c>
      <c r="B38" s="48">
        <f>'3. Financials (Foreign)'!B38/Cover!A$17</f>
        <v>794.06659994790448</v>
      </c>
      <c r="C38" s="49">
        <f>'3. Financials (Foreign)'!C38/Cover!B$17</f>
        <v>745.1110396302837</v>
      </c>
      <c r="D38" s="50">
        <f>'3. Financials (Foreign)'!G38/Cover!C$17</f>
        <v>752.41622855929052</v>
      </c>
      <c r="E38" s="48">
        <f>'3. Financials (Foreign)'!H38/Cover!D$17</f>
        <v>760.6299516163233</v>
      </c>
      <c r="F38" s="48">
        <f>'3. Financials (Foreign)'!I38/Cover!E$17</f>
        <v>0</v>
      </c>
      <c r="G38" s="48">
        <f>'3. Financials (Foreign)'!J38/Cover!F$17</f>
        <v>0</v>
      </c>
      <c r="H38" s="48">
        <f>'3. Financials (Foreign)'!K38/Cover!G$17</f>
        <v>0</v>
      </c>
    </row>
    <row r="39" spans="1:8" x14ac:dyDescent="0.15">
      <c r="A39" s="18" t="s">
        <v>58</v>
      </c>
      <c r="B39" s="51">
        <f>'3. Financials (Foreign)'!B39/Cover!A$17</f>
        <v>1149.7004510371112</v>
      </c>
      <c r="C39" s="52">
        <f>'3. Financials (Foreign)'!C39/Cover!B$17</f>
        <v>1300.4115982748319</v>
      </c>
      <c r="D39" s="53">
        <f>'3. Financials (Foreign)'!G39/Cover!C$17</f>
        <v>1222.986033667888</v>
      </c>
      <c r="E39" s="51">
        <f>'3. Financials (Foreign)'!H39/Cover!D$17</f>
        <v>1537.8658493487803</v>
      </c>
      <c r="F39" s="51">
        <f>'3. Financials (Foreign)'!I39/Cover!E$17</f>
        <v>0</v>
      </c>
      <c r="G39" s="51">
        <f>'3. Financials (Foreign)'!J39/Cover!F$17</f>
        <v>0</v>
      </c>
      <c r="H39" s="51">
        <f>'3. Financials (Foreign)'!K39/Cover!G$17</f>
        <v>0</v>
      </c>
    </row>
    <row r="40" spans="1:8" x14ac:dyDescent="0.15">
      <c r="A40" s="18" t="s">
        <v>57</v>
      </c>
      <c r="B40" s="51">
        <f>'3. Financials (Foreign)'!B40/Cover!A$17</f>
        <v>1943.7670509850157</v>
      </c>
      <c r="C40" s="52">
        <f>'3. Financials (Foreign)'!C40/Cover!B$17</f>
        <v>2045.522637905116</v>
      </c>
      <c r="D40" s="53">
        <f>'3. Financials (Foreign)'!G40/Cover!C$17</f>
        <v>1975.4022622271784</v>
      </c>
      <c r="E40" s="51">
        <f>'3. Financials (Foreign)'!H40/Cover!D$17</f>
        <v>2298.4958009651041</v>
      </c>
      <c r="F40" s="51">
        <f>'3. Financials (Foreign)'!I40/Cover!E$17</f>
        <v>0</v>
      </c>
      <c r="G40" s="51">
        <f>'3. Financials (Foreign)'!J40/Cover!F$17</f>
        <v>0</v>
      </c>
      <c r="H40" s="51">
        <f>'3. Financials (Foreign)'!K40/Cover!G$17</f>
        <v>0</v>
      </c>
    </row>
    <row r="41" spans="1:8" x14ac:dyDescent="0.15">
      <c r="A41" s="18" t="s">
        <v>56</v>
      </c>
      <c r="B41" s="51">
        <f>'3. Financials (Foreign)'!B41/Cover!A$17</f>
        <v>200.60321072618348</v>
      </c>
      <c r="C41" s="52">
        <f>'3. Financials (Foreign)'!C41/Cover!B$17</f>
        <v>393.74659463149811</v>
      </c>
      <c r="D41" s="53">
        <f>'3. Financials (Foreign)'!G41/Cover!C$17</f>
        <v>361.66693218628888</v>
      </c>
      <c r="E41" s="51">
        <f>'3. Financials (Foreign)'!H41/Cover!D$17</f>
        <v>503.88161741555342</v>
      </c>
      <c r="F41" s="51">
        <f>'3. Financials (Foreign)'!I41/Cover!E$17</f>
        <v>0</v>
      </c>
      <c r="G41" s="51">
        <f>'3. Financials (Foreign)'!J41/Cover!F$17</f>
        <v>0</v>
      </c>
      <c r="H41" s="51">
        <f>'3. Financials (Foreign)'!K41/Cover!G$17</f>
        <v>0</v>
      </c>
    </row>
    <row r="42" spans="1:8" x14ac:dyDescent="0.15">
      <c r="A42" s="18" t="s">
        <v>95</v>
      </c>
      <c r="B42" s="51">
        <f>'3. Financials (Foreign)'!B42/Cover!A$17</f>
        <v>-114.24948247261561</v>
      </c>
      <c r="C42" s="52">
        <f>'3. Financials (Foreign)'!C42/Cover!B$17</f>
        <v>-264.23296331064182</v>
      </c>
      <c r="D42" s="53">
        <f>'3. Financials (Foreign)'!G42/Cover!C$17</f>
        <v>-359.88529552333915</v>
      </c>
      <c r="E42" s="51">
        <f>'3. Financials (Foreign)'!H42/Cover!D$17</f>
        <v>-113.82822188381492</v>
      </c>
      <c r="F42" s="51">
        <f>'3. Financials (Foreign)'!I42/Cover!E$17</f>
        <v>0</v>
      </c>
      <c r="G42" s="51">
        <f>'3. Financials (Foreign)'!J42/Cover!F$17</f>
        <v>0</v>
      </c>
      <c r="H42" s="51">
        <f>'3. Financials (Foreign)'!K42/Cover!G$17</f>
        <v>0</v>
      </c>
    </row>
    <row r="43" spans="1:8" outlineLevel="1" x14ac:dyDescent="0.15">
      <c r="A43" s="28" t="s">
        <v>96</v>
      </c>
      <c r="B43" s="51">
        <f>'3. Financials (Foreign)'!B43/Cover!A$17</f>
        <v>3038.4505709937894</v>
      </c>
      <c r="C43" s="52">
        <f>'3. Financials (Foreign)'!C43/Cover!B$17</f>
        <v>2927.070299935011</v>
      </c>
      <c r="D43" s="53">
        <f>'3. Financials (Foreign)'!G43/Cover!C$17</f>
        <v>3036.7572088577349</v>
      </c>
      <c r="E43" s="51">
        <f>'3. Financials (Foreign)'!H43/Cover!D$17</f>
        <v>2839.2184076437215</v>
      </c>
      <c r="F43" s="51">
        <f>'3. Financials (Foreign)'!I43/Cover!E$17</f>
        <v>0</v>
      </c>
      <c r="G43" s="51">
        <f>'3. Financials (Foreign)'!J43/Cover!F$17</f>
        <v>0</v>
      </c>
      <c r="H43" s="51">
        <f>'3. Financials (Foreign)'!K43/Cover!G$17</f>
        <v>0</v>
      </c>
    </row>
    <row r="44" spans="1:8" outlineLevel="1" x14ac:dyDescent="0.15">
      <c r="A44" s="28" t="s">
        <v>97</v>
      </c>
      <c r="B44" s="51">
        <f>'3. Financials (Foreign)'!B44/Cover!A$17</f>
        <v>2837.8473602676063</v>
      </c>
      <c r="C44" s="52">
        <f>'3. Financials (Foreign)'!C44/Cover!B$17</f>
        <v>2533.3237053035127</v>
      </c>
      <c r="D44" s="53">
        <f>'3. Financials (Foreign)'!G44/Cover!C$17</f>
        <v>2675.0902766714457</v>
      </c>
      <c r="E44" s="51">
        <f>'3. Financials (Foreign)'!H44/Cover!D$17</f>
        <v>2335.336790228168</v>
      </c>
      <c r="F44" s="51">
        <f>'3. Financials (Foreign)'!I44/Cover!E$17</f>
        <v>0</v>
      </c>
      <c r="G44" s="51">
        <f>'3. Financials (Foreign)'!J44/Cover!F$17</f>
        <v>0</v>
      </c>
      <c r="H44" s="51">
        <f>'3. Financials (Foreign)'!K44/Cover!G$17</f>
        <v>0</v>
      </c>
    </row>
    <row r="45" spans="1:8" outlineLevel="1" x14ac:dyDescent="0.15">
      <c r="A45" s="28" t="s">
        <v>108</v>
      </c>
      <c r="B45" s="51">
        <f>'3. Financials (Foreign)'!B45/Cover!A$17</f>
        <v>0</v>
      </c>
      <c r="C45" s="52">
        <f>'3. Financials (Foreign)'!C45/Cover!B$17</f>
        <v>0</v>
      </c>
      <c r="D45" s="53">
        <f>'3. Financials (Foreign)'!G45/Cover!C$17</f>
        <v>0</v>
      </c>
      <c r="E45" s="51">
        <f>'3. Financials (Foreign)'!H45/Cover!D$17</f>
        <v>0</v>
      </c>
      <c r="F45" s="51">
        <f>'3. Financials (Foreign)'!I45/Cover!E$17</f>
        <v>0</v>
      </c>
      <c r="G45" s="51">
        <f>'3. Financials (Foreign)'!J45/Cover!F$17</f>
        <v>0</v>
      </c>
      <c r="H45" s="51">
        <f>'3. Financials (Foreign)'!K45/Cover!G$17</f>
        <v>0</v>
      </c>
    </row>
    <row r="46" spans="1:8" outlineLevel="1" x14ac:dyDescent="0.15">
      <c r="A46" s="28" t="s">
        <v>109</v>
      </c>
      <c r="B46" s="51">
        <f>'3. Financials (Foreign)'!B46/Cover!A$17</f>
        <v>127.00738933139574</v>
      </c>
      <c r="C46" s="52">
        <f>'3. Financials (Foreign)'!C46/Cover!B$17</f>
        <v>129.59634484976991</v>
      </c>
      <c r="D46" s="53">
        <f>'3. Financials (Foreign)'!G46/Cover!C$17</f>
        <v>128.88720726461685</v>
      </c>
      <c r="E46" s="51">
        <f>'3. Financials (Foreign)'!H46/Cover!D$17</f>
        <v>448.19733857650471</v>
      </c>
      <c r="F46" s="51">
        <f>'3. Financials (Foreign)'!I46/Cover!E$17</f>
        <v>0</v>
      </c>
      <c r="G46" s="51">
        <f>'3. Financials (Foreign)'!J46/Cover!F$17</f>
        <v>0</v>
      </c>
      <c r="H46" s="51">
        <f>'3. Financials (Foreign)'!K46/Cover!G$17</f>
        <v>0</v>
      </c>
    </row>
    <row r="47" spans="1:8" outlineLevel="1" x14ac:dyDescent="0.15">
      <c r="A47" s="28" t="s">
        <v>122</v>
      </c>
      <c r="B47" s="51">
        <f>'3. Financials (Foreign)'!B47/Cover!A$17</f>
        <v>744.08373661626194</v>
      </c>
      <c r="C47" s="51">
        <f>'3. Financials (Foreign)'!C47/Cover!B$17</f>
        <v>1000.5396073076746</v>
      </c>
      <c r="D47" s="51">
        <f>'3. Financials (Foreign)'!G47/Cover!C$17</f>
        <v>890.57670861876693</v>
      </c>
      <c r="E47" s="51">
        <f>'3. Financials (Foreign)'!H47/Cover!D$17</f>
        <v>1054.0509281569869</v>
      </c>
      <c r="F47" s="51">
        <f>'3. Financials (Foreign)'!I47/Cover!E$17</f>
        <v>0</v>
      </c>
      <c r="G47" s="51">
        <f>'3. Financials (Foreign)'!J47/Cover!F$17</f>
        <v>0</v>
      </c>
      <c r="H47" s="51">
        <f>'3. Financials (Foreign)'!K47/Cover!G$17</f>
        <v>0</v>
      </c>
    </row>
    <row r="48" spans="1:8" outlineLevel="1" x14ac:dyDescent="0.15">
      <c r="A48" s="28" t="s">
        <v>136</v>
      </c>
      <c r="B48" s="51">
        <f>'3. Financials (Foreign)'!B48/Cover!A$17</f>
        <v>2167.1277572899385</v>
      </c>
      <c r="C48" s="51">
        <f>'3. Financials (Foreign)'!C48/Cover!B$17</f>
        <v>1952.2322805957997</v>
      </c>
      <c r="D48" s="51">
        <f>'3. Financials (Foreign)'!G48/Cover!C$17</f>
        <v>2131.9459933089056</v>
      </c>
      <c r="E48" s="51">
        <f>'3. Financials (Foreign)'!H48/Cover!D$17</f>
        <v>1791.8563782279882</v>
      </c>
      <c r="F48" s="51">
        <f>'3. Financials (Foreign)'!I48/Cover!E$17</f>
        <v>0</v>
      </c>
      <c r="G48" s="51">
        <f>'3. Financials (Foreign)'!J48/Cover!F$17</f>
        <v>0</v>
      </c>
      <c r="H48" s="51">
        <f>'3. Financials (Foreign)'!K48/Cover!G$17</f>
        <v>0</v>
      </c>
    </row>
    <row r="49" spans="1:8" outlineLevel="1" x14ac:dyDescent="0.15">
      <c r="A49" s="28" t="s">
        <v>123</v>
      </c>
      <c r="B49" s="51">
        <f>'3. Financials (Foreign)'!B49/Cover!A$17</f>
        <v>1373.1201074811838</v>
      </c>
      <c r="C49" s="52">
        <f>'3. Financials (Foreign)'!C49/Cover!B$17</f>
        <v>1287.3796222748847</v>
      </c>
      <c r="D49" s="53">
        <f>'3. Financials (Foreign)'!G49/Cover!C$17</f>
        <v>1229.439488078169</v>
      </c>
      <c r="E49" s="51">
        <f>'3. Financials (Foreign)'!H49/Cover!D$17</f>
        <v>1183.5444095328053</v>
      </c>
      <c r="F49" s="51">
        <f>'3. Financials (Foreign)'!I49/Cover!E$17</f>
        <v>0</v>
      </c>
      <c r="G49" s="51">
        <f>'3. Financials (Foreign)'!J49/Cover!F$17</f>
        <v>0</v>
      </c>
      <c r="H49" s="51">
        <f>'3. Financials (Foreign)'!K49/Cover!G$17</f>
        <v>0</v>
      </c>
    </row>
    <row r="50" spans="1:8" x14ac:dyDescent="0.15">
      <c r="A50" s="15" t="s">
        <v>55</v>
      </c>
      <c r="B50" s="16"/>
      <c r="C50" s="16"/>
      <c r="D50" s="34"/>
      <c r="E50" s="16"/>
      <c r="F50" s="16"/>
      <c r="G50" s="16"/>
      <c r="H50" s="16"/>
    </row>
    <row r="51" spans="1:8" x14ac:dyDescent="0.15">
      <c r="A51" s="18" t="s">
        <v>98</v>
      </c>
      <c r="B51" s="54">
        <f t="shared" ref="B51:C51" si="1">(B12-B30)/B10</f>
        <v>-1.6975178481479267E-2</v>
      </c>
      <c r="C51" s="55">
        <f t="shared" si="1"/>
        <v>-5.7979910068602862E-2</v>
      </c>
      <c r="D51" s="56">
        <f>(D12-D30)/D10</f>
        <v>-3.0513365848724008E-2</v>
      </c>
      <c r="E51" s="54">
        <f>(E12-E30)/E10</f>
        <v>1.222785392079857E-3</v>
      </c>
      <c r="F51" s="54" t="e">
        <f>(F12-F30)/F10</f>
        <v>#DIV/0!</v>
      </c>
      <c r="G51" s="54" t="e">
        <f t="shared" ref="G51:H51" si="2">(G12-G30)/G10</f>
        <v>#DIV/0!</v>
      </c>
      <c r="H51" s="54" t="e">
        <f t="shared" si="2"/>
        <v>#DIV/0!</v>
      </c>
    </row>
    <row r="52" spans="1:8" ht="11.25" customHeight="1" outlineLevel="1" x14ac:dyDescent="0.15">
      <c r="A52" s="17" t="s">
        <v>105</v>
      </c>
      <c r="B52" s="57">
        <f>(B12-B30)/AVERAGE(B10:C10)</f>
        <v>-1.7484322145645027E-2</v>
      </c>
      <c r="C52" s="58">
        <f t="shared" ref="C52:G52" si="3">(C12-C30)/AVERAGE(C10:D10)</f>
        <v>-3.7581274225550722E-2</v>
      </c>
      <c r="D52" s="59">
        <f t="shared" si="3"/>
        <v>-3.0139486708709213E-2</v>
      </c>
      <c r="E52" s="57">
        <f t="shared" si="3"/>
        <v>2.4455707841597139E-3</v>
      </c>
      <c r="F52" s="57" t="e">
        <f t="shared" si="3"/>
        <v>#DIV/0!</v>
      </c>
      <c r="G52" s="57" t="e">
        <f t="shared" si="3"/>
        <v>#DIV/0!</v>
      </c>
      <c r="H52" s="57"/>
    </row>
    <row r="53" spans="1:8" ht="11.25" customHeight="1" outlineLevel="1" x14ac:dyDescent="0.15">
      <c r="A53" s="17" t="s">
        <v>101</v>
      </c>
      <c r="B53" s="48">
        <f>(B12-B30)/(AVERAGE(B13:C13))*-1</f>
        <v>-5.8475353052927517</v>
      </c>
      <c r="C53" s="49">
        <f>(C12-C30)/(AVERAGE(C13:D13))*-1</f>
        <v>-18.973878177773496</v>
      </c>
      <c r="D53" s="50">
        <f>(D12-D30)/(AVERAGE(D13:E13))*-1</f>
        <v>-8.6029716571539208</v>
      </c>
      <c r="E53" s="48">
        <f>(E12-E30)/(AVERAGE(E13:F13))*-1</f>
        <v>0.56040397810500509</v>
      </c>
      <c r="F53" s="48" t="e">
        <f t="shared" ref="F53:G53" si="4">(F12-F30)/(AVERAGE(F13:G13))*-1</f>
        <v>#DIV/0!</v>
      </c>
      <c r="G53" s="48" t="e">
        <f t="shared" si="4"/>
        <v>#DIV/0!</v>
      </c>
      <c r="H53" s="48"/>
    </row>
    <row r="54" spans="1:8" x14ac:dyDescent="0.15">
      <c r="A54" s="18" t="s">
        <v>104</v>
      </c>
      <c r="B54" s="54">
        <f>B12/B10</f>
        <v>7.1286032904274732E-4</v>
      </c>
      <c r="C54" s="55">
        <f>C12/C10</f>
        <v>2.537826340169001E-3</v>
      </c>
      <c r="D54" s="56">
        <f>D12/D10</f>
        <v>7.3978865827174526E-3</v>
      </c>
      <c r="E54" s="54">
        <f>E12/E10</f>
        <v>2.176117263588306E-2</v>
      </c>
      <c r="F54" s="54" t="e">
        <f>F12/F10</f>
        <v>#DIV/0!</v>
      </c>
      <c r="G54" s="54" t="e">
        <f t="shared" ref="G54:H54" si="5">G12/G10</f>
        <v>#DIV/0!</v>
      </c>
      <c r="H54" s="54" t="e">
        <f t="shared" si="5"/>
        <v>#DIV/0!</v>
      </c>
    </row>
    <row r="55" spans="1:8" x14ac:dyDescent="0.15">
      <c r="A55" s="18" t="s">
        <v>54</v>
      </c>
      <c r="B55" s="51">
        <f>B12/B13*-1</f>
        <v>0.13711050126793364</v>
      </c>
      <c r="C55" s="52">
        <f t="shared" ref="C55:H55" si="6">C12/C13*-1</f>
        <v>3.9389965792474277</v>
      </c>
      <c r="D55" s="53">
        <f t="shared" si="6"/>
        <v>2.8220387920785366</v>
      </c>
      <c r="E55" s="51">
        <f t="shared" si="6"/>
        <v>4.9865854598720221</v>
      </c>
      <c r="F55" s="51" t="e">
        <f t="shared" si="6"/>
        <v>#DIV/0!</v>
      </c>
      <c r="G55" s="51" t="e">
        <f t="shared" si="6"/>
        <v>#DIV/0!</v>
      </c>
      <c r="H55" s="51" t="e">
        <f t="shared" si="6"/>
        <v>#DIV/0!</v>
      </c>
    </row>
    <row r="56" spans="1:8" x14ac:dyDescent="0.15">
      <c r="A56" s="18" t="s">
        <v>53</v>
      </c>
      <c r="B56" s="51">
        <f>B37/B12</f>
        <v>139.3577400557383</v>
      </c>
      <c r="C56" s="52">
        <f>C37/C12</f>
        <v>38.68888406426413</v>
      </c>
      <c r="D56" s="53">
        <f>D37/D12</f>
        <v>6.8219023086737751</v>
      </c>
      <c r="E56" s="51">
        <f>E37/E12</f>
        <v>2.2877197322243004</v>
      </c>
      <c r="F56" s="51" t="e">
        <f>F37/F12</f>
        <v>#DIV/0!</v>
      </c>
      <c r="G56" s="51" t="e">
        <f t="shared" ref="G56:H56" si="7">G37/G12</f>
        <v>#DIV/0!</v>
      </c>
      <c r="H56" s="51" t="e">
        <f t="shared" si="7"/>
        <v>#DIV/0!</v>
      </c>
    </row>
    <row r="57" spans="1:8" ht="11.25" customHeight="1" x14ac:dyDescent="0.15">
      <c r="A57" s="17" t="s">
        <v>52</v>
      </c>
      <c r="B57" s="48">
        <f>(B37-B32)/B12</f>
        <v>25.150240689130918</v>
      </c>
      <c r="C57" s="49">
        <f>(C37-C32)/C12</f>
        <v>15.367925893761811</v>
      </c>
      <c r="D57" s="50">
        <f>(D37-D32)/D12</f>
        <v>0.72128602036640244</v>
      </c>
      <c r="E57" s="48">
        <f>(E37-E32)/E12</f>
        <v>1.1167808166231195</v>
      </c>
      <c r="F57" s="48" t="e">
        <f>(F37-F32)/F12</f>
        <v>#DIV/0!</v>
      </c>
      <c r="G57" s="48" t="e">
        <f t="shared" ref="G57:H57" si="8">(G37-G32)/G12</f>
        <v>#DIV/0!</v>
      </c>
      <c r="H57" s="48" t="e">
        <f t="shared" si="8"/>
        <v>#DIV/0!</v>
      </c>
    </row>
    <row r="58" spans="1:8" x14ac:dyDescent="0.15">
      <c r="A58" s="18" t="s">
        <v>51</v>
      </c>
      <c r="B58" s="51">
        <f>B38/B12</f>
        <v>146.74841651887485</v>
      </c>
      <c r="C58" s="52">
        <f>C38/C12</f>
        <v>41.071428571428697</v>
      </c>
      <c r="D58" s="53">
        <f>D38/D12</f>
        <v>6.8219023086737751</v>
      </c>
      <c r="E58" s="51">
        <f>E38/E12</f>
        <v>2.2877197322243004</v>
      </c>
      <c r="F58" s="51" t="e">
        <f>F38/F12</f>
        <v>#DIV/0!</v>
      </c>
      <c r="G58" s="51" t="e">
        <f t="shared" ref="G58:H58" si="9">G38/G12</f>
        <v>#DIV/0!</v>
      </c>
      <c r="H58" s="51" t="e">
        <f t="shared" si="9"/>
        <v>#DIV/0!</v>
      </c>
    </row>
    <row r="59" spans="1:8" ht="11.25" customHeight="1" x14ac:dyDescent="0.15">
      <c r="A59" s="17" t="s">
        <v>50</v>
      </c>
      <c r="B59" s="48">
        <f>(B38-B32)/B12</f>
        <v>32.540917152267482</v>
      </c>
      <c r="C59" s="49">
        <f>(C38-C32)/C12</f>
        <v>17.750470400926385</v>
      </c>
      <c r="D59" s="50">
        <f>(D38-D32)/D12</f>
        <v>0.72128602036640244</v>
      </c>
      <c r="E59" s="48">
        <f>(E38-E32)/E12</f>
        <v>1.1167808166231195</v>
      </c>
      <c r="F59" s="48" t="e">
        <f>(F38-F32)/F12</f>
        <v>#DIV/0!</v>
      </c>
      <c r="G59" s="48" t="e">
        <f t="shared" ref="G59:H59" si="10">(G38-G32)/G12</f>
        <v>#DIV/0!</v>
      </c>
      <c r="H59" s="48" t="e">
        <f t="shared" si="10"/>
        <v>#DIV/0!</v>
      </c>
    </row>
    <row r="60" spans="1:8" ht="11.25" customHeight="1" outlineLevel="1" x14ac:dyDescent="0.15">
      <c r="A60" s="17" t="s">
        <v>124</v>
      </c>
      <c r="B60" s="48">
        <f>(B32+B47+B49)/(B35+B48)</f>
        <v>1.1311800535107122</v>
      </c>
      <c r="C60" s="49">
        <f t="shared" ref="C60:H60" si="11">(C32+C47+C49)/(C35+C48)</f>
        <v>1.2775617102156582</v>
      </c>
      <c r="D60" s="50">
        <f t="shared" si="11"/>
        <v>1.177336265143379</v>
      </c>
      <c r="E60" s="48">
        <f t="shared" si="11"/>
        <v>1.3092262474709209</v>
      </c>
      <c r="F60" s="48" t="e">
        <f t="shared" si="11"/>
        <v>#DIV/0!</v>
      </c>
      <c r="G60" s="48" t="e">
        <f t="shared" si="11"/>
        <v>#DIV/0!</v>
      </c>
      <c r="H60" s="48" t="e">
        <f t="shared" si="11"/>
        <v>#DIV/0!</v>
      </c>
    </row>
    <row r="61" spans="1:8" ht="11.25" customHeight="1" outlineLevel="1" x14ac:dyDescent="0.15">
      <c r="A61" s="17" t="s">
        <v>125</v>
      </c>
      <c r="B61" s="48">
        <f>(B32+B47+B49)/(B38+B48)</f>
        <v>0.92367767539018808</v>
      </c>
      <c r="C61" s="49">
        <f t="shared" ref="C61:H61" si="12">(C32+C47+C49)/(C38+C48)</f>
        <v>1.0050645616002556</v>
      </c>
      <c r="D61" s="50">
        <f t="shared" si="12"/>
        <v>0.96828295092968519</v>
      </c>
      <c r="E61" s="48">
        <f t="shared" si="12"/>
        <v>1.0291587580491686</v>
      </c>
      <c r="F61" s="48" t="e">
        <f t="shared" si="12"/>
        <v>#DIV/0!</v>
      </c>
      <c r="G61" s="48" t="e">
        <f t="shared" si="12"/>
        <v>#DIV/0!</v>
      </c>
      <c r="H61" s="48" t="e">
        <f t="shared" si="12"/>
        <v>#DIV/0!</v>
      </c>
    </row>
    <row r="62" spans="1:8" ht="11.25" customHeight="1" outlineLevel="1" x14ac:dyDescent="0.15">
      <c r="A62" s="17" t="s">
        <v>126</v>
      </c>
      <c r="B62" s="48">
        <f>((B32+B47+B49)*0.75)/(B35+B48)</f>
        <v>0.84838504013303417</v>
      </c>
      <c r="C62" s="49">
        <f t="shared" ref="C62:H62" si="13">((C32+C47+C49)*0.75)/(C35+C48)</f>
        <v>0.95817128266174356</v>
      </c>
      <c r="D62" s="50">
        <f t="shared" si="13"/>
        <v>0.88300219885753417</v>
      </c>
      <c r="E62" s="48">
        <f t="shared" si="13"/>
        <v>0.98191968560319065</v>
      </c>
      <c r="F62" s="48" t="e">
        <f t="shared" si="13"/>
        <v>#DIV/0!</v>
      </c>
      <c r="G62" s="48" t="e">
        <f t="shared" si="13"/>
        <v>#DIV/0!</v>
      </c>
      <c r="H62" s="48" t="e">
        <f t="shared" si="13"/>
        <v>#DIV/0!</v>
      </c>
    </row>
    <row r="63" spans="1:8" ht="11.25" customHeight="1" outlineLevel="1" x14ac:dyDescent="0.15">
      <c r="A63" s="17" t="s">
        <v>127</v>
      </c>
      <c r="B63" s="48">
        <f>((B32+B47+B49)*0.75)/(B36+B48)</f>
        <v>0.76821534513934031</v>
      </c>
      <c r="C63" s="49">
        <f t="shared" ref="C63:H63" si="14">((C32+C47+C49)*0.75)/(C36+C48)</f>
        <v>0.81842867659532426</v>
      </c>
      <c r="D63" s="50">
        <f t="shared" si="14"/>
        <v>0.79219911962310585</v>
      </c>
      <c r="E63" s="48">
        <f t="shared" si="14"/>
        <v>0.84272300469483574</v>
      </c>
      <c r="F63" s="48" t="e">
        <f t="shared" si="14"/>
        <v>#DIV/0!</v>
      </c>
      <c r="G63" s="48" t="e">
        <f t="shared" si="14"/>
        <v>#DIV/0!</v>
      </c>
      <c r="H63" s="48" t="e">
        <f t="shared" si="14"/>
        <v>#DIV/0!</v>
      </c>
    </row>
    <row r="64" spans="1:8" x14ac:dyDescent="0.15">
      <c r="A64" s="18" t="s">
        <v>49</v>
      </c>
      <c r="B64" s="60">
        <f>B17/B38</f>
        <v>-0.11221547747299798</v>
      </c>
      <c r="C64" s="61">
        <f>C17/C38</f>
        <v>-5.7373683978679389E-2</v>
      </c>
      <c r="D64" s="62">
        <f>D17/D38</f>
        <v>-6.2655491839435362E-2</v>
      </c>
      <c r="E64" s="60">
        <f>E17/E38</f>
        <v>1.8859987024572235E-2</v>
      </c>
      <c r="F64" s="60" t="e">
        <f>F17/F38</f>
        <v>#DIV/0!</v>
      </c>
      <c r="G64" s="60" t="e">
        <f t="shared" ref="G64:H64" si="15">G17/G38</f>
        <v>#DIV/0!</v>
      </c>
      <c r="H64" s="60" t="e">
        <f t="shared" si="15"/>
        <v>#DIV/0!</v>
      </c>
    </row>
    <row r="65" spans="1:8" ht="11.25" customHeight="1" outlineLevel="1" x14ac:dyDescent="0.15">
      <c r="A65" s="17" t="s">
        <v>102</v>
      </c>
      <c r="B65" s="57">
        <f>B17/AVERAGE(B38:C38)</f>
        <v>-0.11578463767565367</v>
      </c>
      <c r="C65" s="58">
        <f t="shared" ref="C65:G65" si="16">C17/AVERAGE(C38:D38)</f>
        <v>-5.7093805535114159E-2</v>
      </c>
      <c r="D65" s="59">
        <f t="shared" si="16"/>
        <v>-6.2315360213108163E-2</v>
      </c>
      <c r="E65" s="57">
        <f t="shared" si="16"/>
        <v>3.771997404914447E-2</v>
      </c>
      <c r="F65" s="57" t="e">
        <f t="shared" si="16"/>
        <v>#DIV/0!</v>
      </c>
      <c r="G65" s="57" t="e">
        <f t="shared" si="16"/>
        <v>#DIV/0!</v>
      </c>
      <c r="H65" s="57"/>
    </row>
    <row r="66" spans="1:8" x14ac:dyDescent="0.15">
      <c r="A66" s="18" t="s">
        <v>48</v>
      </c>
      <c r="B66" s="60">
        <f>B22/B38</f>
        <v>-4.6074348774895725E-2</v>
      </c>
      <c r="C66" s="61">
        <f>C22/C38</f>
        <v>0.10807101008766133</v>
      </c>
      <c r="D66" s="62">
        <f>D22/D38</f>
        <v>0.37914777238641378</v>
      </c>
      <c r="E66" s="60">
        <f>E22/E38</f>
        <v>0.71490552266645035</v>
      </c>
      <c r="F66" s="60" t="e">
        <f>F22/F38</f>
        <v>#DIV/0!</v>
      </c>
      <c r="G66" s="60" t="e">
        <f t="shared" ref="G66:H66" si="17">G22/G38</f>
        <v>#DIV/0!</v>
      </c>
      <c r="H66" s="60" t="e">
        <f t="shared" si="17"/>
        <v>#DIV/0!</v>
      </c>
    </row>
    <row r="67" spans="1:8" ht="11.25" customHeight="1" outlineLevel="1" x14ac:dyDescent="0.15">
      <c r="A67" s="17" t="s">
        <v>100</v>
      </c>
      <c r="B67" s="57">
        <f t="shared" ref="B67:C67" si="18">B22/(AVERAGE(B38:C38))</f>
        <v>-4.7539803770176615E-2</v>
      </c>
      <c r="C67" s="58">
        <f t="shared" si="18"/>
        <v>0.10754382159286123</v>
      </c>
      <c r="D67" s="59">
        <f>D22/(AVERAGE(D38:E38))</f>
        <v>0.3770895306480741</v>
      </c>
      <c r="E67" s="57">
        <f>E22/(AVERAGE(E38:F38))</f>
        <v>1.4298110453329007</v>
      </c>
      <c r="F67" s="57" t="e">
        <f t="shared" ref="F67:G67" si="19">F22/(AVERAGE(F38:G38))</f>
        <v>#DIV/0!</v>
      </c>
      <c r="G67" s="57" t="e">
        <f t="shared" si="19"/>
        <v>#DIV/0!</v>
      </c>
      <c r="H67" s="57"/>
    </row>
    <row r="68" spans="1:8" x14ac:dyDescent="0.15">
      <c r="A68" s="18" t="s">
        <v>94</v>
      </c>
      <c r="B68" s="60">
        <f>-B26/B22</f>
        <v>0</v>
      </c>
      <c r="C68" s="61">
        <f t="shared" ref="C68:H68" si="20">-C26/C22</f>
        <v>0</v>
      </c>
      <c r="D68" s="62">
        <f t="shared" si="20"/>
        <v>0</v>
      </c>
      <c r="E68" s="60">
        <f t="shared" si="20"/>
        <v>0</v>
      </c>
      <c r="F68" s="60" t="e">
        <f t="shared" si="20"/>
        <v>#DIV/0!</v>
      </c>
      <c r="G68" s="60" t="e">
        <f t="shared" si="20"/>
        <v>#DIV/0!</v>
      </c>
      <c r="H68" s="60" t="e">
        <f t="shared" si="20"/>
        <v>#DIV/0!</v>
      </c>
    </row>
    <row r="69" spans="1:8" x14ac:dyDescent="0.15">
      <c r="A69" s="18" t="s">
        <v>47</v>
      </c>
      <c r="B69" s="60">
        <f>B38/B40</f>
        <v>0.4085194260009225</v>
      </c>
      <c r="C69" s="61">
        <f>C38/C40</f>
        <v>0.3642643820326405</v>
      </c>
      <c r="D69" s="62">
        <f>D38/D40</f>
        <v>0.38089266320418941</v>
      </c>
      <c r="E69" s="60">
        <f>E38/E40</f>
        <v>0.33092509949200088</v>
      </c>
      <c r="F69" s="60" t="e">
        <f>F38/F40</f>
        <v>#DIV/0!</v>
      </c>
      <c r="G69" s="60" t="e">
        <f t="shared" ref="G69:H69" si="21">G38/G40</f>
        <v>#DIV/0!</v>
      </c>
      <c r="H69" s="60" t="e">
        <f t="shared" si="21"/>
        <v>#DIV/0!</v>
      </c>
    </row>
    <row r="70" spans="1:8" x14ac:dyDescent="0.15">
      <c r="A70" s="15" t="s">
        <v>46</v>
      </c>
      <c r="B70" s="16"/>
      <c r="C70" s="16"/>
      <c r="D70" s="34"/>
      <c r="E70" s="16"/>
      <c r="F70" s="16"/>
      <c r="G70" s="16"/>
      <c r="H70" s="16"/>
    </row>
    <row r="71" spans="1:8" x14ac:dyDescent="0.15">
      <c r="A71" s="18" t="s">
        <v>45</v>
      </c>
      <c r="B71" s="60">
        <f>B43/B34</f>
        <v>0.59641446870941639</v>
      </c>
      <c r="C71" s="61">
        <f t="shared" ref="C71:H71" si="22">C43/C34</f>
        <v>0.58571196630506417</v>
      </c>
      <c r="D71" s="62">
        <f t="shared" si="22"/>
        <v>0.59981340128086036</v>
      </c>
      <c r="E71" s="60">
        <f t="shared" si="22"/>
        <v>0.56076033992551111</v>
      </c>
      <c r="F71" s="60" t="e">
        <f t="shared" si="22"/>
        <v>#DIV/0!</v>
      </c>
      <c r="G71" s="60" t="e">
        <f t="shared" si="22"/>
        <v>#DIV/0!</v>
      </c>
      <c r="H71" s="60" t="e">
        <f t="shared" si="22"/>
        <v>#DIV/0!</v>
      </c>
    </row>
    <row r="72" spans="1:8" x14ac:dyDescent="0.15">
      <c r="A72" s="18" t="s">
        <v>44</v>
      </c>
      <c r="B72" s="51">
        <f>B43/B44</f>
        <v>1.0706885132494464</v>
      </c>
      <c r="C72" s="52">
        <f t="shared" ref="C72:H72" si="23">C43/C44</f>
        <v>1.1554268780603085</v>
      </c>
      <c r="D72" s="53">
        <f t="shared" si="23"/>
        <v>1.1351980287694452</v>
      </c>
      <c r="E72" s="51">
        <f t="shared" si="23"/>
        <v>1.2157640043714308</v>
      </c>
      <c r="F72" s="51" t="e">
        <f t="shared" si="23"/>
        <v>#DIV/0!</v>
      </c>
      <c r="G72" s="51" t="e">
        <f t="shared" si="23"/>
        <v>#DIV/0!</v>
      </c>
      <c r="H72" s="51" t="e">
        <f t="shared" si="23"/>
        <v>#DIV/0!</v>
      </c>
    </row>
    <row r="73" spans="1:8" x14ac:dyDescent="0.15">
      <c r="A73" s="15" t="s">
        <v>43</v>
      </c>
      <c r="B73" s="15"/>
      <c r="C73" s="15"/>
      <c r="D73" s="35"/>
      <c r="E73" s="15"/>
      <c r="F73" s="15"/>
      <c r="G73" s="15"/>
      <c r="H73" s="15"/>
    </row>
    <row r="74" spans="1:8" x14ac:dyDescent="0.15">
      <c r="A74" s="18" t="s">
        <v>42</v>
      </c>
      <c r="B74" s="60">
        <f>B10/C10-1</f>
        <v>6.1841684390271379E-2</v>
      </c>
      <c r="C74" s="61"/>
      <c r="D74" s="62">
        <f>D10/E10-1</f>
        <v>-2.4209290284783025E-2</v>
      </c>
      <c r="E74" s="60"/>
      <c r="F74" s="60" t="e">
        <f t="shared" ref="F74:G74" si="24">F10/G10-1</f>
        <v>#DIV/0!</v>
      </c>
      <c r="G74" s="60" t="e">
        <f t="shared" si="24"/>
        <v>#DIV/0!</v>
      </c>
      <c r="H74" s="60"/>
    </row>
    <row r="75" spans="1:8" x14ac:dyDescent="0.15">
      <c r="A75" s="18" t="s">
        <v>135</v>
      </c>
      <c r="B75" s="60">
        <f>B11/B10</f>
        <v>1.5106245447546122E-2</v>
      </c>
      <c r="C75" s="60">
        <f>C11/C10</f>
        <v>1.8139636281623361E-2</v>
      </c>
      <c r="D75" s="62">
        <f>D11/D10</f>
        <v>1.8060966179410713E-2</v>
      </c>
      <c r="E75" s="60">
        <f>E11/E10</f>
        <v>2.6246148936741091E-2</v>
      </c>
      <c r="F75" s="60" t="e">
        <f t="shared" ref="F75:H75" si="25">F11/F10</f>
        <v>#DIV/0!</v>
      </c>
      <c r="G75" s="60" t="e">
        <f t="shared" si="25"/>
        <v>#DIV/0!</v>
      </c>
      <c r="H75" s="60" t="e">
        <f t="shared" si="25"/>
        <v>#DIV/0!</v>
      </c>
    </row>
    <row r="76" spans="1:8" x14ac:dyDescent="0.15">
      <c r="A76" s="18" t="s">
        <v>91</v>
      </c>
      <c r="B76" s="60">
        <f>B14/B10</f>
        <v>-1.5051340572950428E-2</v>
      </c>
      <c r="C76" s="61">
        <f t="shared" ref="C76:H76" si="26">C14/C10</f>
        <v>-3.6963042100404846E-2</v>
      </c>
      <c r="D76" s="62">
        <f t="shared" si="26"/>
        <v>-2.4138991006560664E-2</v>
      </c>
      <c r="E76" s="60">
        <f t="shared" si="26"/>
        <v>-7.4500920958085739E-3</v>
      </c>
      <c r="F76" s="60" t="e">
        <f t="shared" si="26"/>
        <v>#DIV/0!</v>
      </c>
      <c r="G76" s="60" t="e">
        <f t="shared" si="26"/>
        <v>#DIV/0!</v>
      </c>
      <c r="H76" s="60" t="e">
        <f t="shared" si="26"/>
        <v>#DIV/0!</v>
      </c>
    </row>
    <row r="77" spans="1:8" x14ac:dyDescent="0.15">
      <c r="A77" s="18" t="s">
        <v>92</v>
      </c>
      <c r="B77" s="60">
        <f>B10/B34</f>
        <v>1.4899615241992821</v>
      </c>
      <c r="C77" s="61">
        <f t="shared" ref="C77:H77" si="27">C10/C34</f>
        <v>1.4304419307753178</v>
      </c>
      <c r="D77" s="62">
        <f t="shared" si="27"/>
        <v>2.9447679853657935</v>
      </c>
      <c r="E77" s="60">
        <f t="shared" si="27"/>
        <v>3.0176356283195451</v>
      </c>
      <c r="F77" s="60" t="e">
        <f t="shared" si="27"/>
        <v>#DIV/0!</v>
      </c>
      <c r="G77" s="60" t="e">
        <f t="shared" si="27"/>
        <v>#DIV/0!</v>
      </c>
      <c r="H77" s="60" t="e">
        <f t="shared" si="27"/>
        <v>#DIV/0!</v>
      </c>
    </row>
    <row r="78" spans="1:8" x14ac:dyDescent="0.15">
      <c r="A78" s="18" t="s">
        <v>93</v>
      </c>
      <c r="B78" s="51">
        <f>B34/B39</f>
        <v>4.4311790953297416</v>
      </c>
      <c r="C78" s="52">
        <f t="shared" ref="C78:H78" si="28">C34/C39</f>
        <v>3.8429808637849603</v>
      </c>
      <c r="D78" s="53">
        <f t="shared" si="28"/>
        <v>4.1397337391798974</v>
      </c>
      <c r="E78" s="51">
        <f t="shared" si="28"/>
        <v>3.2923277217811013</v>
      </c>
      <c r="F78" s="51" t="e">
        <f t="shared" si="28"/>
        <v>#DIV/0!</v>
      </c>
      <c r="G78" s="51" t="e">
        <f t="shared" si="28"/>
        <v>#DIV/0!</v>
      </c>
      <c r="H78" s="51" t="e">
        <f t="shared" si="28"/>
        <v>#DIV/0!</v>
      </c>
    </row>
    <row r="79" spans="1:8" x14ac:dyDescent="0.15">
      <c r="A79" s="18" t="s">
        <v>41</v>
      </c>
      <c r="B79" s="60">
        <f>B14/B39</f>
        <v>-9.9373260547610018E-2</v>
      </c>
      <c r="C79" s="61">
        <f>C14/C39</f>
        <v>-0.2031917922457642</v>
      </c>
      <c r="D79" s="62">
        <f>D14/D39</f>
        <v>-0.29426770675704134</v>
      </c>
      <c r="E79" s="60">
        <f>E14/E39</f>
        <v>-7.4017003454505639E-2</v>
      </c>
      <c r="F79" s="60" t="e">
        <f>F14/F39</f>
        <v>#DIV/0!</v>
      </c>
      <c r="G79" s="60" t="e">
        <f t="shared" ref="G79:H79" si="29">G14/G39</f>
        <v>#DIV/0!</v>
      </c>
      <c r="H79" s="60" t="e">
        <f t="shared" si="29"/>
        <v>#DIV/0!</v>
      </c>
    </row>
    <row r="80" spans="1:8" x14ac:dyDescent="0.15">
      <c r="A80" s="18" t="s">
        <v>40</v>
      </c>
      <c r="B80" s="60">
        <f>B14/B34</f>
        <v>-2.2425918341315715E-2</v>
      </c>
      <c r="C80" s="61">
        <f>C14/C34</f>
        <v>-5.2873485309432471E-2</v>
      </c>
      <c r="D80" s="62">
        <f>D14/D34</f>
        <v>-7.1083727915152647E-2</v>
      </c>
      <c r="E80" s="60">
        <f>E14/E34</f>
        <v>-2.2481663342573784E-2</v>
      </c>
      <c r="F80" s="60" t="e">
        <f>F14/F34</f>
        <v>#DIV/0!</v>
      </c>
      <c r="G80" s="60" t="e">
        <f t="shared" ref="G80:H80" si="30">G14/G34</f>
        <v>#DIV/0!</v>
      </c>
      <c r="H80" s="60" t="e">
        <f t="shared" si="30"/>
        <v>#DIV/0!</v>
      </c>
    </row>
    <row r="81" spans="1:8" x14ac:dyDescent="0.15">
      <c r="A81" s="18" t="s">
        <v>110</v>
      </c>
      <c r="B81" s="60">
        <f t="shared" ref="B81:C81" si="31">B14/(B34-B45-B46)</f>
        <v>-2.2999294320702954E-2</v>
      </c>
      <c r="C81" s="61">
        <f t="shared" si="31"/>
        <v>-5.4281128436415346E-2</v>
      </c>
      <c r="D81" s="62">
        <f>D14/(D34-D45-D46)</f>
        <v>-7.2940614263942355E-2</v>
      </c>
      <c r="E81" s="60">
        <f t="shared" ref="E81:H81" si="32">E14/(E34-E45-E46)</f>
        <v>-2.4665045089950165E-2</v>
      </c>
      <c r="F81" s="60" t="e">
        <f t="shared" si="32"/>
        <v>#DIV/0!</v>
      </c>
      <c r="G81" s="60" t="e">
        <f t="shared" si="32"/>
        <v>#DIV/0!</v>
      </c>
      <c r="H81" s="60" t="e">
        <f t="shared" si="32"/>
        <v>#DIV/0!</v>
      </c>
    </row>
    <row r="82" spans="1:8" x14ac:dyDescent="0.15">
      <c r="A82" s="18" t="s">
        <v>39</v>
      </c>
      <c r="B82" s="60">
        <f>B37/B34</f>
        <v>0.14801665831562211</v>
      </c>
      <c r="C82" s="61">
        <f>C37/C34</f>
        <v>0.14044889801039728</v>
      </c>
      <c r="D82" s="62">
        <f>D37/D34</f>
        <v>0.14861554816258216</v>
      </c>
      <c r="E82" s="60">
        <f>E37/E34</f>
        <v>0.15022835477453614</v>
      </c>
      <c r="F82" s="60" t="e">
        <f>F37/F34</f>
        <v>#DIV/0!</v>
      </c>
      <c r="G82" s="60" t="e">
        <f t="shared" ref="G82:H82" si="33">G37/G34</f>
        <v>#DIV/0!</v>
      </c>
      <c r="H82" s="60" t="e">
        <f t="shared" si="33"/>
        <v>#DIV/0!</v>
      </c>
    </row>
    <row r="85" spans="1:8" x14ac:dyDescent="0.15">
      <c r="A85" s="32" t="s">
        <v>129</v>
      </c>
    </row>
    <row r="86" spans="1:8" x14ac:dyDescent="0.15">
      <c r="A86" s="32" t="s">
        <v>128</v>
      </c>
    </row>
  </sheetData>
  <pageMargins left="0.7" right="0.7" top="0.75" bottom="0.75" header="0.3" footer="0.3"/>
  <pageSetup paperSize="9" scale="65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1. EBITDA cleaner</vt:lpstr>
      <vt:lpstr>2. FFO calculator</vt:lpstr>
      <vt:lpstr>3. Financials (Foreign)</vt:lpstr>
      <vt:lpstr>3. Financials (USD manual)</vt:lpstr>
      <vt:lpstr>3. Financials (USD)</vt:lpstr>
      <vt:lpstr>'1. EBITDA cleaner'!Print_Area</vt:lpstr>
      <vt:lpstr>'2. FFO calculator'!Print_Area</vt:lpstr>
      <vt:lpstr>'3. Financials (Foreign)'!Print_Area</vt:lpstr>
      <vt:lpstr>'3. Financials (USD manual)'!Print_Area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Dunai</cp:lastModifiedBy>
  <cp:lastPrinted>2014-11-04T17:06:58Z</cp:lastPrinted>
  <dcterms:created xsi:type="dcterms:W3CDTF">2014-07-22T14:45:13Z</dcterms:created>
  <dcterms:modified xsi:type="dcterms:W3CDTF">2020-08-28T11:49:25Z</dcterms:modified>
</cp:coreProperties>
</file>